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filterPrivacy="1"/>
  <xr:revisionPtr revIDLastSave="0" documentId="13_ncr:1_{C23C9A97-D9ED-4305-AC66-0622D36D16F5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Таблиця 1" sheetId="1" r:id="rId1"/>
    <sheet name="Таблиця 2" sheetId="2" r:id="rId2"/>
    <sheet name="Таблиця 3" sheetId="3" r:id="rId3"/>
    <sheet name="Таблиця 4" sheetId="4" r:id="rId4"/>
    <sheet name="Таблиця 5" sheetId="5" r:id="rId5"/>
  </sheets>
  <definedNames>
    <definedName name="bookmark4" localSheetId="3">'Таблиця 4'!$A$2</definedName>
    <definedName name="_xlnm.Print_Area" localSheetId="0">'Таблиця 1'!$A$1:$F$104</definedName>
    <definedName name="_xlnm.Print_Area" localSheetId="2">'Таблиця 3'!$A$1:$F$49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13" i="2" l="1"/>
  <c r="C12" i="5"/>
  <c r="C15" i="5"/>
  <c r="C14" i="5"/>
  <c r="D13" i="5"/>
  <c r="E96" i="1"/>
  <c r="D44" i="3" l="1"/>
  <c r="D10" i="4" l="1"/>
  <c r="D56" i="1"/>
  <c r="D50" i="1"/>
  <c r="D44" i="1"/>
  <c r="D43" i="1"/>
  <c r="D34" i="1"/>
  <c r="C28" i="1" l="1"/>
  <c r="C14" i="3" l="1"/>
  <c r="C13" i="3"/>
  <c r="C11" i="3"/>
  <c r="C77" i="1"/>
  <c r="C63" i="1"/>
  <c r="C64" i="1" s="1"/>
  <c r="C35" i="1" s="1"/>
  <c r="C54" i="1"/>
  <c r="C49" i="1"/>
  <c r="C44" i="1"/>
  <c r="C43" i="1"/>
  <c r="C42" i="1"/>
  <c r="C38" i="1"/>
  <c r="C36" i="1"/>
  <c r="C34" i="1"/>
  <c r="C33" i="1"/>
  <c r="C32" i="1"/>
  <c r="F54" i="1" l="1"/>
  <c r="E50" i="1"/>
  <c r="C23" i="5"/>
  <c r="C22" i="5"/>
  <c r="D71" i="1" l="1"/>
  <c r="B22" i="5" l="1"/>
  <c r="D35" i="1"/>
  <c r="B14" i="5" l="1"/>
  <c r="C17" i="5" l="1"/>
  <c r="F38" i="1" l="1"/>
  <c r="C98" i="1"/>
  <c r="C97" i="1"/>
  <c r="B23" i="5" l="1"/>
  <c r="B20" i="5" s="1"/>
  <c r="C18" i="5"/>
  <c r="D14" i="3"/>
  <c r="C78" i="1" l="1"/>
  <c r="D96" i="1" l="1"/>
  <c r="F14" i="3" l="1"/>
  <c r="E89" i="1" l="1"/>
  <c r="D78" i="1"/>
  <c r="C20" i="5" l="1"/>
  <c r="D97" i="1"/>
  <c r="D27" i="3" l="1"/>
  <c r="F10" i="3"/>
  <c r="B17" i="5" l="1"/>
  <c r="D98" i="1" l="1"/>
  <c r="B15" i="5"/>
  <c r="B8" i="5"/>
  <c r="D94" i="1"/>
  <c r="B19" i="5" l="1"/>
  <c r="D15" i="5"/>
  <c r="D30" i="1"/>
  <c r="B25" i="5" l="1"/>
  <c r="B18" i="5" l="1"/>
  <c r="B26" i="5"/>
  <c r="B27" i="5"/>
  <c r="C25" i="5"/>
  <c r="C19" i="5"/>
  <c r="C26" i="5" l="1"/>
  <c r="C27" i="5"/>
  <c r="F71" i="1"/>
  <c r="D75" i="1" l="1"/>
  <c r="D100" i="1" s="1"/>
  <c r="C75" i="1"/>
  <c r="C55" i="1"/>
  <c r="C96" i="1"/>
  <c r="D55" i="1" l="1"/>
  <c r="F75" i="1"/>
  <c r="E77" i="1"/>
  <c r="C94" i="1"/>
  <c r="F77" i="1"/>
  <c r="D15" i="2"/>
  <c r="E44" i="3"/>
  <c r="E10" i="3" l="1"/>
  <c r="D13" i="3"/>
  <c r="F13" i="3" s="1"/>
  <c r="D11" i="3"/>
  <c r="C9" i="3"/>
  <c r="C43" i="3" s="1"/>
  <c r="D8" i="4"/>
  <c r="C8" i="4"/>
  <c r="F8" i="4"/>
  <c r="E10" i="4"/>
  <c r="E8" i="4" s="1"/>
  <c r="D27" i="5"/>
  <c r="D9" i="5"/>
  <c r="D10" i="5"/>
  <c r="D11" i="5"/>
  <c r="D14" i="5"/>
  <c r="D21" i="5"/>
  <c r="D22" i="5"/>
  <c r="D23" i="5"/>
  <c r="F11" i="3" l="1"/>
  <c r="E13" i="3"/>
  <c r="E11" i="3"/>
  <c r="D17" i="5"/>
  <c r="D25" i="5"/>
  <c r="D20" i="5"/>
  <c r="D26" i="5"/>
  <c r="D19" i="5"/>
  <c r="B12" i="5"/>
  <c r="C8" i="5"/>
  <c r="D8" i="5" l="1"/>
  <c r="D12" i="5"/>
  <c r="D18" i="5"/>
  <c r="F26" i="1" l="1"/>
  <c r="F28" i="1"/>
  <c r="F32" i="1"/>
  <c r="F33" i="1"/>
  <c r="F34" i="1"/>
  <c r="F35" i="1"/>
  <c r="F36" i="1"/>
  <c r="F40" i="1"/>
  <c r="F41" i="1"/>
  <c r="F42" i="1"/>
  <c r="F43" i="1"/>
  <c r="F44" i="1"/>
  <c r="F49" i="1"/>
  <c r="F51" i="1"/>
  <c r="F56" i="1"/>
  <c r="F62" i="1"/>
  <c r="F63" i="1"/>
  <c r="F64" i="1"/>
  <c r="E26" i="1"/>
  <c r="F29" i="1"/>
  <c r="C100" i="1"/>
  <c r="C30" i="1"/>
  <c r="C25" i="1"/>
  <c r="C90" i="1" s="1"/>
  <c r="E28" i="1"/>
  <c r="E32" i="1"/>
  <c r="E33" i="1"/>
  <c r="E34" i="1"/>
  <c r="E35" i="1"/>
  <c r="E36" i="1"/>
  <c r="E38" i="1"/>
  <c r="E39" i="1"/>
  <c r="E40" i="1"/>
  <c r="E41" i="1"/>
  <c r="E42" i="1"/>
  <c r="E43" i="1"/>
  <c r="E44" i="1"/>
  <c r="E47" i="1"/>
  <c r="E49" i="1"/>
  <c r="E51" i="1"/>
  <c r="E54" i="1"/>
  <c r="E56" i="1"/>
  <c r="E62" i="1"/>
  <c r="E63" i="1"/>
  <c r="E64" i="1"/>
  <c r="E71" i="1"/>
  <c r="E73" i="1"/>
  <c r="E75" i="1"/>
  <c r="D91" i="1" l="1"/>
  <c r="D101" i="1"/>
  <c r="D22" i="3" s="1"/>
  <c r="C25" i="2"/>
  <c r="F25" i="2" s="1"/>
  <c r="C16" i="2"/>
  <c r="F16" i="2" s="1"/>
  <c r="C91" i="1"/>
  <c r="C92" i="1" s="1"/>
  <c r="C14" i="2" s="1"/>
  <c r="C101" i="1"/>
  <c r="D24" i="3"/>
  <c r="D25" i="1"/>
  <c r="F100" i="1"/>
  <c r="E78" i="1"/>
  <c r="E29" i="1"/>
  <c r="D23" i="2"/>
  <c r="D21" i="2" s="1"/>
  <c r="D26" i="3" s="1"/>
  <c r="C23" i="2"/>
  <c r="F98" i="1"/>
  <c r="E97" i="1"/>
  <c r="C24" i="3"/>
  <c r="F55" i="1"/>
  <c r="E55" i="1"/>
  <c r="F96" i="1"/>
  <c r="E30" i="1"/>
  <c r="F97" i="1"/>
  <c r="F94" i="1"/>
  <c r="F30" i="1"/>
  <c r="E98" i="1"/>
  <c r="E8" i="2"/>
  <c r="D23" i="3" l="1"/>
  <c r="F23" i="2"/>
  <c r="C27" i="3"/>
  <c r="F27" i="3" s="1"/>
  <c r="C31" i="3"/>
  <c r="C22" i="3"/>
  <c r="D90" i="1"/>
  <c r="D92" i="1" s="1"/>
  <c r="C15" i="2"/>
  <c r="F15" i="2" s="1"/>
  <c r="E16" i="2"/>
  <c r="E25" i="2"/>
  <c r="E100" i="1"/>
  <c r="E25" i="1"/>
  <c r="F25" i="1"/>
  <c r="D9" i="3"/>
  <c r="D43" i="3" s="1"/>
  <c r="E14" i="3"/>
  <c r="C21" i="2"/>
  <c r="E23" i="2"/>
  <c r="F24" i="3"/>
  <c r="E24" i="3"/>
  <c r="E94" i="1"/>
  <c r="F101" i="1"/>
  <c r="E101" i="1"/>
  <c r="E92" i="1" l="1"/>
  <c r="F92" i="1"/>
  <c r="D45" i="3"/>
  <c r="F45" i="3" s="1"/>
  <c r="E22" i="3"/>
  <c r="F22" i="3"/>
  <c r="D14" i="2"/>
  <c r="E23" i="3"/>
  <c r="F23" i="3"/>
  <c r="E27" i="3"/>
  <c r="F21" i="2"/>
  <c r="C26" i="3"/>
  <c r="D31" i="3"/>
  <c r="E90" i="1"/>
  <c r="F90" i="1"/>
  <c r="F9" i="3"/>
  <c r="E15" i="2"/>
  <c r="E91" i="1"/>
  <c r="E9" i="3"/>
  <c r="F91" i="1"/>
  <c r="E21" i="2"/>
  <c r="E14" i="2" l="1"/>
  <c r="F14" i="2"/>
  <c r="E26" i="3"/>
  <c r="F26" i="3"/>
  <c r="E45" i="3"/>
  <c r="E43" i="3"/>
  <c r="F43" i="3"/>
</calcChain>
</file>

<file path=xl/sharedStrings.xml><?xml version="1.0" encoding="utf-8"?>
<sst xmlns="http://schemas.openxmlformats.org/spreadsheetml/2006/main" count="265" uniqueCount="197">
  <si>
    <t>Коди</t>
  </si>
  <si>
    <t>Підприємство</t>
  </si>
  <si>
    <t>За ЄДРПОУ</t>
  </si>
  <si>
    <t>Орган управління</t>
  </si>
  <si>
    <t>За СПОДУ</t>
  </si>
  <si>
    <t>Галузь</t>
  </si>
  <si>
    <t>За ЗКНГ</t>
  </si>
  <si>
    <t>Вид економічної діяльності</t>
  </si>
  <si>
    <t>За КВЕД</t>
  </si>
  <si>
    <t>Місцезнаходження</t>
  </si>
  <si>
    <t>За КОАТУУ</t>
  </si>
  <si>
    <t>Телефон</t>
  </si>
  <si>
    <t>Директор</t>
  </si>
  <si>
    <t>ЗВІТ ПРО ВИКОНАННЯ ФІНАНСОВОГО ПЛАНУ</t>
  </si>
  <si>
    <t>Таблиця 1</t>
  </si>
  <si>
    <t>І. Формування фінансових результатів</t>
  </si>
  <si>
    <t>Найменування показника</t>
  </si>
  <si>
    <t>Код</t>
  </si>
  <si>
    <t>рядка</t>
  </si>
  <si>
    <t>Звітний період (квартал/рік)</t>
  </si>
  <si>
    <t>план</t>
  </si>
  <si>
    <t>факт</t>
  </si>
  <si>
    <t>відхилення, +/–</t>
  </si>
  <si>
    <t>виконання, %</t>
  </si>
  <si>
    <t>Доходи і витрати (деталізація)</t>
  </si>
  <si>
    <t>Чистий дохід від реалізації продукції (товарів, робіт, послуг)</t>
  </si>
  <si>
    <t>Кошти місцевого бюджету</t>
  </si>
  <si>
    <t>Кошти обласного бюджету</t>
  </si>
  <si>
    <t>Кошти НСЗУ</t>
  </si>
  <si>
    <t>Інші доходи</t>
  </si>
  <si>
    <t>Собівартість реалізованої продукції (товарів, робіт, послуг)</t>
  </si>
  <si>
    <t>Витрати на сировину та основні матеріали</t>
  </si>
  <si>
    <t>Витрати на паливно-мастильні матеріали</t>
  </si>
  <si>
    <t>Витрати на електроенергію</t>
  </si>
  <si>
    <t>Витрати на оплату праці</t>
  </si>
  <si>
    <t>Відрахування на соціальні заходи</t>
  </si>
  <si>
    <t>Витрати, що здійснюються для підтримання об’єкта в робочому стані (проведення ремонту, технічного огляду, нагляду, обслуговування тощо)</t>
  </si>
  <si>
    <t>Амортизація основних засобів і нематеріальних активів</t>
  </si>
  <si>
    <t>Інші витрати (розшифрувати)</t>
  </si>
  <si>
    <t>Витрати на теплопостачання</t>
  </si>
  <si>
    <t>Витрати на водопостачання</t>
  </si>
  <si>
    <t>Витрати на газ</t>
  </si>
  <si>
    <t>Витрати на тверде паливо</t>
  </si>
  <si>
    <t>Витрати на матеріали, обладнання та інвентар</t>
  </si>
  <si>
    <t>Витрати на медикаменти та перев’язувальні матеріали</t>
  </si>
  <si>
    <t>Витрати на продукти харчування</t>
  </si>
  <si>
    <t>Витрати на виплату пенсій</t>
  </si>
  <si>
    <t>Витрати на страхування</t>
  </si>
  <si>
    <t>Плата за держ. реєстрацію джерел іонізуючого випромінювання. Екологічний податок,земельний податок</t>
  </si>
  <si>
    <t>Витрати на службові відрядження</t>
  </si>
  <si>
    <t>Витрати на навчання курси</t>
  </si>
  <si>
    <t>Витрати за вивіз сміття</t>
  </si>
  <si>
    <t>Витрати на придбання медичного обладнання</t>
  </si>
  <si>
    <t>Витрати на виготовлення технічної документації</t>
  </si>
  <si>
    <t>Оплата послуг (крім комунальних)</t>
  </si>
  <si>
    <t>Адміністративні витрати, у тому числі:</t>
  </si>
  <si>
    <t>витрати, пов’язані з використанням власних службових автомобілів</t>
  </si>
  <si>
    <t>витрати на оренду службових автомобілів</t>
  </si>
  <si>
    <t>витрати на консалтингові послуги</t>
  </si>
  <si>
    <t>витрати на страхові послуги</t>
  </si>
  <si>
    <t>витрати на аудиторські послуги</t>
  </si>
  <si>
    <t>витрати на службові відрядження</t>
  </si>
  <si>
    <t>витрати на зв'язок</t>
  </si>
  <si>
    <t>витрати на оплату праці</t>
  </si>
  <si>
    <t>відрахування на соціальні заходи</t>
  </si>
  <si>
    <t>амортизація основних засобів і нематеріальних активів загальногосподарського призначення</t>
  </si>
  <si>
    <t>витрати на операційну оренду основних засобів та роялті, що мають загальногосподарське призначення</t>
  </si>
  <si>
    <t>витрати на страхування загальногосподарського персоналу</t>
  </si>
  <si>
    <t>організаційно-технічні послуги</t>
  </si>
  <si>
    <t>консультаційні та інформаційні послуги</t>
  </si>
  <si>
    <t>юридичні послуги</t>
  </si>
  <si>
    <t>послуги з оцінки майна</t>
  </si>
  <si>
    <t>витрати на охорону праці загальногосподарського персоналу</t>
  </si>
  <si>
    <t>витрати на підвищення кваліфікації та перепідготовку кадрів</t>
  </si>
  <si>
    <t>витрати на утримання основних фондів, інших необоротних активів загальногосподарського використання, у тому числі:</t>
  </si>
  <si>
    <t>витрати на поліпшення основних фондів</t>
  </si>
  <si>
    <t>інші адміністративні витрати (розшифрувати)</t>
  </si>
  <si>
    <t>Витрати на збут, у тому числі:</t>
  </si>
  <si>
    <t>транспортні витрати</t>
  </si>
  <si>
    <t>витрати на зберігання та упаковку</t>
  </si>
  <si>
    <t>амортизація основних засобів  і нематеріальних активів</t>
  </si>
  <si>
    <t>витрати на рекламу</t>
  </si>
  <si>
    <t>інші витрати на збут (розшифрувати)</t>
  </si>
  <si>
    <t>Інші операційні доходи (розшифрувати)</t>
  </si>
  <si>
    <t>інші операційні витрати (розшифрувати)</t>
  </si>
  <si>
    <t>Усього доходів</t>
  </si>
  <si>
    <t>Усього витрат</t>
  </si>
  <si>
    <t>Нерозподілені доходи</t>
  </si>
  <si>
    <t>Елементи операційних витрат</t>
  </si>
  <si>
    <t>витрати на сировину та основні матеріали</t>
  </si>
  <si>
    <t>Амортизація</t>
  </si>
  <si>
    <t>Усього</t>
  </si>
  <si>
    <t>(посада)</t>
  </si>
  <si>
    <t>(підпис)</t>
  </si>
  <si>
    <t>(прізвище, ініціали)</t>
  </si>
  <si>
    <t>Код рядка</t>
  </si>
  <si>
    <t>Таблиця 2</t>
  </si>
  <si>
    <t>II. Розрахунки з бюджетом</t>
  </si>
  <si>
    <t xml:space="preserve"> Розподіл нерозподіленого доходу</t>
  </si>
  <si>
    <t>Залишок нерозподіленого доходу на початок звітного періоду, усього, у тому числі:</t>
  </si>
  <si>
    <t>Спрямування нерозподіленого доходу, усього, у тому числі:</t>
  </si>
  <si>
    <t>Розвиток статутної діяльності</t>
  </si>
  <si>
    <t>у тому числі за основними видами діяльності за КВЕД</t>
  </si>
  <si>
    <t>Резервний фонд</t>
  </si>
  <si>
    <t>Сплата податків та зборів до місцевих бюджетів (податкові платежі), усього, у тому числі:</t>
  </si>
  <si>
    <t>податок на доходи фізичних осіб (18%)</t>
  </si>
  <si>
    <t>земельний податок</t>
  </si>
  <si>
    <t>орендна плата</t>
  </si>
  <si>
    <t>інші податки та збори (розшифрувати)</t>
  </si>
  <si>
    <t>Екологічний податок</t>
  </si>
  <si>
    <t>Інші податки, збори та платежі на користь держави, усього, у тому числі:</t>
  </si>
  <si>
    <t>митні платежі</t>
  </si>
  <si>
    <t>єдиний внесок на загальнообов'язкове державне соціальне страхування 22%</t>
  </si>
  <si>
    <t>інші податки, збори та платежі (розшифрувати)</t>
  </si>
  <si>
    <t>Військовий збір 1,5%</t>
  </si>
  <si>
    <t>Погашення податкового боргу, усього, у тому числі:</t>
  </si>
  <si>
    <t>погашення реструктуризованих та відстрочених сум, що підлягають сплаті в поточному році до бюджетів та державних цільових фондів</t>
  </si>
  <si>
    <t>інші (штрафи, пені, неустойки) (розшифрувати)</t>
  </si>
  <si>
    <t>Таблиця З</t>
  </si>
  <si>
    <t>III. Рух грошових коштів</t>
  </si>
  <si>
    <t>І. Рух коштів у результаті операційної діяльності</t>
  </si>
  <si>
    <t>Надходження грошових коштів від операційної діяльності</t>
  </si>
  <si>
    <t>Виручка від реалізації продукції (товарів, робіт, послуг)</t>
  </si>
  <si>
    <t>Повернення податків і зборів, у тому числі:</t>
  </si>
  <si>
    <t>податку на додану вартість</t>
  </si>
  <si>
    <t>Цільове фінансування (розшифрувати)</t>
  </si>
  <si>
    <t>Надходження авансів від покупців і замовників</t>
  </si>
  <si>
    <t>Отримання коштів за короткостроковими зобов'язаннями</t>
  </si>
  <si>
    <t>Інші надходження (розшифрувати)</t>
  </si>
  <si>
    <t>Від отриманих благодійних внесків грантів та дарунків</t>
  </si>
  <si>
    <t>Видатки грошових коштів від операційної діяльності</t>
  </si>
  <si>
    <t>Розрахунки за продукцію (товари, роботи та послуги)</t>
  </si>
  <si>
    <t>Розрахунки з оплати праці</t>
  </si>
  <si>
    <t>Повернення коштів за короткостроковими зобов'язаннями</t>
  </si>
  <si>
    <t>Зобов’язання з податків, зборів та інших обов’язкових платежів, у тому числі:</t>
  </si>
  <si>
    <t>інші платежі (розшифрувати)</t>
  </si>
  <si>
    <t>Повернення коштів до бюджету</t>
  </si>
  <si>
    <t>Чистий рух коштів від операційної діяльності</t>
  </si>
  <si>
    <t>II. Рух коштів у результаті інвестиційної діяльності</t>
  </si>
  <si>
    <t>Надходження грошових коштів від інвестиційної діяльності</t>
  </si>
  <si>
    <t>Виручка від реалізації необоротних активів</t>
  </si>
  <si>
    <t>Видатки грошових коштів від інвестиційної діяльності</t>
  </si>
  <si>
    <t>Придбання (створення) основних засобів (розшифрувати)</t>
  </si>
  <si>
    <t>Придбання (створення) нематеріальних активів (розшифрувати)</t>
  </si>
  <si>
    <t>модернізація, модифікація (добудова, дообладнання, реконструкція) основних засобів</t>
  </si>
  <si>
    <t>капітальний ремонт</t>
  </si>
  <si>
    <t>Чистий рух коштів від інвестиційної діяльності</t>
  </si>
  <si>
    <t>Чистий грошовий потік</t>
  </si>
  <si>
    <t>Залишок коштів на початок періоду</t>
  </si>
  <si>
    <t>Залишок коштів на кінець періоду</t>
  </si>
  <si>
    <t>Таблиця 4</t>
  </si>
  <si>
    <t>IV. Капітальні інвестиції</t>
  </si>
  <si>
    <t>Капітальні інвестиції, усього, у тому числі:</t>
  </si>
  <si>
    <t>капітальне будівництво</t>
  </si>
  <si>
    <t>придбання (виготовлення) основних засобів</t>
  </si>
  <si>
    <t>придбання (виготовлення) інших необоротних матеріальних активів</t>
  </si>
  <si>
    <t>придбання (створення) нематеріальних активів</t>
  </si>
  <si>
    <t>Таблиця 5</t>
  </si>
  <si>
    <t>V. Дані про персонал та витрати на оплату праці</t>
  </si>
  <si>
    <t>директор</t>
  </si>
  <si>
    <t>адміністративно-управлінський персонал</t>
  </si>
  <si>
    <t>працівники</t>
  </si>
  <si>
    <t>Фонд оплати праці, тис. гри, у тому числі:</t>
  </si>
  <si>
    <t>Середньомісячна заробітна плата одного працівника (грн), усього, у тому числі:</t>
  </si>
  <si>
    <t>Витрати на оплату праці, тис. грн, у тому числі:</t>
  </si>
  <si>
    <t>Середньомісячні витрати на оплату праці одного працівника (грн), усього, у тому числі:</t>
  </si>
  <si>
    <t>КНП «Малинський центр первинної медико-санітарної допомоги» ММР</t>
  </si>
  <si>
    <t>Відділ охорони здоров'я Малинської міської ради</t>
  </si>
  <si>
    <t>Загальна медична практика</t>
  </si>
  <si>
    <t>Олександр АНДРІЙЦЕВ</t>
  </si>
  <si>
    <t>КОМУНАЛЬНОГО НЕКОМЕРЦІЙНОГО ПІДПРИЄМСТВА «МАЛИНСЬКИЙ ЦЕНТР ПЕРВИННОЇ МЕДИКО-САНІТАРНОЇ ДОПОМОГИ» МАЛИНСЬКОЇ МІСЬКОЇ РАДИ</t>
  </si>
  <si>
    <t>витрати на страхування майна загальногосподарського призначення</t>
  </si>
  <si>
    <t>(ПІБ)</t>
  </si>
  <si>
    <t>(посада)                                             (підпис)</t>
  </si>
  <si>
    <t>придбання та супровід програмного забезпечення, обсл оргтехніки</t>
  </si>
  <si>
    <t>322+</t>
  </si>
  <si>
    <t>Медицина</t>
  </si>
  <si>
    <t>213+ господарчі та канцелярія та дрібне компютерне обладнання</t>
  </si>
  <si>
    <t>капітальні видатки таблиця 4</t>
  </si>
  <si>
    <t>Головний лікар</t>
  </si>
  <si>
    <t>Житомирська обл., Коростенський р-н, м.Малин, вул. Суворова, 83б</t>
  </si>
  <si>
    <r>
      <t xml:space="preserve">Середня кількість працівників </t>
    </r>
    <r>
      <rPr>
        <sz val="12"/>
        <rFont val="Times New Roman"/>
        <family val="1"/>
        <charset val="204"/>
      </rPr>
      <t xml:space="preserve">(штатних працівників, зовнішніх сумісників та працівників, що працюють за цивільно- правовими договорами), </t>
    </r>
    <r>
      <rPr>
        <b/>
        <sz val="12"/>
        <rFont val="Times New Roman"/>
        <family val="1"/>
        <charset val="204"/>
      </rPr>
      <t>у тому числі:</t>
    </r>
  </si>
  <si>
    <t>224+ періодичні видання, обслуговування сайтів, електронні ключі, оплата аналізів</t>
  </si>
  <si>
    <t>Інші доходи (нерозподілені доходи на початок звітного періоду)</t>
  </si>
  <si>
    <t>податок на доходи фізичних осіб(18%)</t>
  </si>
  <si>
    <t>Інші витрати (медичне обладнання та ін.)</t>
  </si>
  <si>
    <t>Матеріальні витрати, у тому числі (202+206+213+214+301+1002):</t>
  </si>
  <si>
    <t>витрати на комунальні послуги (203+209-212+221)</t>
  </si>
  <si>
    <t>Інші операційні витрати (207+208+(215-220)+ (222-224)+(302-307)+(310-319)+ 322+600)</t>
  </si>
  <si>
    <t>Інші витрати (міські програми підтримки охорони здоров'я)</t>
  </si>
  <si>
    <t>за 2 квартал 2024 року</t>
  </si>
  <si>
    <t>Інші цілі (медикаменти, теплопостачання)</t>
  </si>
  <si>
    <t>Залишок нерозподіленого доходу на кінець звітного періоду (30.06.2024)</t>
  </si>
  <si>
    <t xml:space="preserve"> Малинської міської ради </t>
  </si>
  <si>
    <t>Додаток 1 до рішення</t>
  </si>
  <si>
    <t>64-ї сесії 8-го скликання</t>
  </si>
  <si>
    <t>від 13.12.2024 № 1362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</si>
</sst>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%"/>
  </numFmts>
  <fonts count="17" x14ac:knownFonts="1"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6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2"/>
      <name val="Calibri"/>
      <family val="2"/>
      <scheme val="minor"/>
    </font>
    <font>
      <sz val="9"/>
      <name val="Times New Roman"/>
      <family val="1"/>
      <charset val="204"/>
    </font>
    <font>
      <sz val="11"/>
      <name val="Calibri"/>
      <family val="2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2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9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151">
    <xf numFmtId="0" fontId="0" fillId="0" borderId="0" xfId="0"/>
    <xf numFmtId="0" fontId="2" fillId="0" borderId="0" xfId="0" applyFont="1" applyFill="1" applyAlignment="1">
      <alignment vertical="center" wrapText="1"/>
    </xf>
    <xf numFmtId="0" fontId="2" fillId="0" borderId="0" xfId="0" applyFont="1" applyFill="1"/>
    <xf numFmtId="0" fontId="2" fillId="0" borderId="12" xfId="0" applyFont="1" applyFill="1" applyBorder="1" applyAlignment="1">
      <alignment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/>
    </xf>
    <xf numFmtId="0" fontId="2" fillId="0" borderId="15" xfId="0" applyFont="1" applyFill="1" applyBorder="1" applyAlignment="1"/>
    <xf numFmtId="0" fontId="1" fillId="0" borderId="12" xfId="0" applyFont="1" applyFill="1" applyBorder="1" applyAlignment="1">
      <alignment vertical="center"/>
    </xf>
    <xf numFmtId="0" fontId="1" fillId="0" borderId="12" xfId="0" applyFont="1" applyFill="1" applyBorder="1" applyAlignment="1">
      <alignment vertical="center" wrapText="1"/>
    </xf>
    <xf numFmtId="0" fontId="2" fillId="0" borderId="12" xfId="0" applyFont="1" applyFill="1" applyBorder="1" applyAlignment="1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1" fillId="0" borderId="12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vertical="center" wrapText="1"/>
    </xf>
    <xf numFmtId="0" fontId="1" fillId="0" borderId="0" xfId="0" applyFont="1" applyFill="1" applyAlignment="1">
      <alignment vertical="center" wrapText="1"/>
    </xf>
    <xf numFmtId="0" fontId="1" fillId="0" borderId="6" xfId="0" applyFont="1" applyFill="1" applyBorder="1" applyAlignment="1">
      <alignment horizontal="left" vertical="center" wrapText="1"/>
    </xf>
    <xf numFmtId="0" fontId="2" fillId="0" borderId="6" xfId="0" applyFont="1" applyFill="1" applyBorder="1" applyAlignment="1">
      <alignment vertical="center" wrapText="1"/>
    </xf>
    <xf numFmtId="0" fontId="2" fillId="0" borderId="0" xfId="0" applyFont="1" applyFill="1" applyAlignment="1">
      <alignment horizontal="left" vertical="center" wrapText="1"/>
    </xf>
    <xf numFmtId="0" fontId="4" fillId="0" borderId="0" xfId="0" applyFont="1" applyFill="1" applyBorder="1" applyAlignment="1">
      <alignment vertical="center"/>
    </xf>
    <xf numFmtId="0" fontId="2" fillId="0" borderId="0" xfId="0" applyFont="1" applyAlignment="1">
      <alignment horizontal="left" vertical="center" wrapText="1"/>
    </xf>
    <xf numFmtId="0" fontId="2" fillId="2" borderId="12" xfId="0" applyFont="1" applyFill="1" applyBorder="1" applyAlignment="1">
      <alignment horizontal="left" vertical="center" wrapText="1"/>
    </xf>
    <xf numFmtId="0" fontId="6" fillId="0" borderId="0" xfId="0" applyFont="1" applyAlignment="1">
      <alignment horizontal="right" vertical="center"/>
    </xf>
    <xf numFmtId="0" fontId="7" fillId="0" borderId="0" xfId="0" applyFont="1"/>
    <xf numFmtId="0" fontId="6" fillId="0" borderId="0" xfId="0" applyFont="1" applyAlignment="1">
      <alignment horizontal="center" vertical="center"/>
    </xf>
    <xf numFmtId="0" fontId="1" fillId="2" borderId="12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left" vertical="center" wrapText="1"/>
    </xf>
    <xf numFmtId="0" fontId="6" fillId="0" borderId="0" xfId="0" applyFont="1" applyAlignment="1">
      <alignment vertical="center"/>
    </xf>
    <xf numFmtId="0" fontId="2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vertical="center" wrapText="1"/>
    </xf>
    <xf numFmtId="0" fontId="9" fillId="0" borderId="0" xfId="0" applyFont="1"/>
    <xf numFmtId="0" fontId="10" fillId="2" borderId="1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vertical="center" wrapText="1"/>
    </xf>
    <xf numFmtId="0" fontId="11" fillId="2" borderId="8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wrapText="1"/>
    </xf>
    <xf numFmtId="0" fontId="11" fillId="2" borderId="8" xfId="0" applyFont="1" applyFill="1" applyBorder="1" applyAlignment="1">
      <alignment horizontal="left" vertical="center" wrapText="1"/>
    </xf>
    <xf numFmtId="0" fontId="10" fillId="2" borderId="3" xfId="0" applyFont="1" applyFill="1" applyBorder="1" applyAlignment="1">
      <alignment horizontal="center" vertical="center" wrapText="1"/>
    </xf>
    <xf numFmtId="0" fontId="10" fillId="2" borderId="8" xfId="0" applyFont="1" applyFill="1" applyBorder="1" applyAlignment="1">
      <alignment horizontal="left" vertical="center" wrapText="1"/>
    </xf>
    <xf numFmtId="0" fontId="5" fillId="0" borderId="6" xfId="0" applyFont="1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5" fillId="0" borderId="0" xfId="0" applyFont="1" applyBorder="1" applyAlignment="1">
      <alignment vertical="center" wrapText="1"/>
    </xf>
    <xf numFmtId="0" fontId="2" fillId="0" borderId="0" xfId="0" applyFont="1"/>
    <xf numFmtId="0" fontId="2" fillId="0" borderId="0" xfId="0" applyFont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1" fillId="0" borderId="12" xfId="0" applyFont="1" applyBorder="1" applyAlignment="1">
      <alignment vertical="center" wrapText="1"/>
    </xf>
    <xf numFmtId="0" fontId="2" fillId="0" borderId="12" xfId="0" applyFont="1" applyBorder="1" applyAlignment="1">
      <alignment vertical="center" wrapText="1"/>
    </xf>
    <xf numFmtId="164" fontId="2" fillId="0" borderId="12" xfId="0" applyNumberFormat="1" applyFont="1" applyFill="1" applyBorder="1" applyAlignment="1">
      <alignment vertical="center" wrapText="1"/>
    </xf>
    <xf numFmtId="0" fontId="8" fillId="0" borderId="0" xfId="0" applyFont="1" applyAlignment="1">
      <alignment horizontal="center" vertical="center" wrapText="1"/>
    </xf>
    <xf numFmtId="0" fontId="14" fillId="0" borderId="0" xfId="0" applyFont="1" applyFill="1"/>
    <xf numFmtId="0" fontId="14" fillId="0" borderId="0" xfId="0" applyFont="1" applyFill="1" applyBorder="1" applyAlignment="1">
      <alignment vertical="center" wrapText="1"/>
    </xf>
    <xf numFmtId="0" fontId="14" fillId="0" borderId="6" xfId="0" applyFont="1" applyFill="1" applyBorder="1" applyAlignment="1">
      <alignment vertical="center" wrapText="1"/>
    </xf>
    <xf numFmtId="0" fontId="14" fillId="0" borderId="0" xfId="0" applyFont="1"/>
    <xf numFmtId="0" fontId="14" fillId="0" borderId="0" xfId="0" applyFont="1" applyAlignment="1">
      <alignment vertical="center" wrapText="1"/>
    </xf>
    <xf numFmtId="165" fontId="14" fillId="0" borderId="12" xfId="0" applyNumberFormat="1" applyFont="1" applyBorder="1" applyAlignment="1">
      <alignment horizontal="right" vertical="center" wrapText="1"/>
    </xf>
    <xf numFmtId="0" fontId="5" fillId="0" borderId="0" xfId="0" applyFont="1" applyAlignment="1">
      <alignment horizontal="right" vertical="center"/>
    </xf>
    <xf numFmtId="0" fontId="15" fillId="0" borderId="0" xfId="0" applyFont="1" applyAlignment="1">
      <alignment horizontal="center" vertical="center"/>
    </xf>
    <xf numFmtId="0" fontId="11" fillId="2" borderId="3" xfId="0" applyFont="1" applyFill="1" applyBorder="1" applyAlignment="1">
      <alignment horizontal="right" vertical="center" wrapText="1"/>
    </xf>
    <xf numFmtId="0" fontId="10" fillId="2" borderId="3" xfId="0" applyFont="1" applyFill="1" applyBorder="1" applyAlignment="1">
      <alignment horizontal="right" vertical="center" wrapText="1"/>
    </xf>
    <xf numFmtId="9" fontId="10" fillId="2" borderId="3" xfId="0" applyNumberFormat="1" applyFont="1" applyFill="1" applyBorder="1" applyAlignment="1">
      <alignment horizontal="right" vertical="center" wrapText="1"/>
    </xf>
    <xf numFmtId="0" fontId="15" fillId="0" borderId="0" xfId="0" applyFont="1" applyAlignment="1">
      <alignment vertical="center"/>
    </xf>
    <xf numFmtId="0" fontId="8" fillId="0" borderId="0" xfId="0" applyFont="1" applyBorder="1" applyAlignment="1">
      <alignment vertical="center" wrapText="1"/>
    </xf>
    <xf numFmtId="0" fontId="2" fillId="0" borderId="0" xfId="0" applyFont="1" applyBorder="1" applyAlignment="1">
      <alignment horizontal="center" vertical="center" wrapText="1"/>
    </xf>
    <xf numFmtId="164" fontId="1" fillId="0" borderId="12" xfId="0" applyNumberFormat="1" applyFont="1" applyFill="1" applyBorder="1" applyAlignment="1">
      <alignment vertical="center" wrapText="1"/>
    </xf>
    <xf numFmtId="164" fontId="1" fillId="0" borderId="12" xfId="0" applyNumberFormat="1" applyFont="1" applyFill="1" applyBorder="1" applyAlignment="1">
      <alignment horizontal="right" vertical="center" wrapText="1"/>
    </xf>
    <xf numFmtId="10" fontId="1" fillId="0" borderId="12" xfId="0" applyNumberFormat="1" applyFont="1" applyFill="1" applyBorder="1" applyAlignment="1">
      <alignment horizontal="right" vertical="center" wrapText="1"/>
    </xf>
    <xf numFmtId="10" fontId="2" fillId="0" borderId="12" xfId="0" applyNumberFormat="1" applyFont="1" applyFill="1" applyBorder="1" applyAlignment="1">
      <alignment horizontal="right" vertical="center" wrapText="1"/>
    </xf>
    <xf numFmtId="164" fontId="2" fillId="0" borderId="12" xfId="0" applyNumberFormat="1" applyFont="1" applyBorder="1" applyAlignment="1">
      <alignment horizontal="right" vertical="center" wrapText="1"/>
    </xf>
    <xf numFmtId="164" fontId="14" fillId="0" borderId="12" xfId="0" applyNumberFormat="1" applyFont="1" applyBorder="1" applyAlignment="1">
      <alignment vertical="center" wrapText="1"/>
    </xf>
    <xf numFmtId="164" fontId="14" fillId="0" borderId="12" xfId="0" applyNumberFormat="1" applyFont="1" applyBorder="1" applyAlignment="1">
      <alignment horizontal="right" vertical="center" wrapText="1"/>
    </xf>
    <xf numFmtId="164" fontId="2" fillId="0" borderId="12" xfId="0" applyNumberFormat="1" applyFont="1" applyFill="1" applyBorder="1" applyAlignment="1">
      <alignment horizontal="right" vertical="center" wrapText="1"/>
    </xf>
    <xf numFmtId="164" fontId="14" fillId="0" borderId="12" xfId="0" applyNumberFormat="1" applyFont="1" applyFill="1" applyBorder="1" applyAlignment="1">
      <alignment vertical="center" wrapText="1"/>
    </xf>
    <xf numFmtId="164" fontId="13" fillId="0" borderId="12" xfId="0" applyNumberFormat="1" applyFont="1" applyFill="1" applyBorder="1" applyAlignment="1">
      <alignment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14" fillId="0" borderId="12" xfId="0" applyFont="1" applyBorder="1" applyAlignment="1">
      <alignment vertical="center" wrapText="1"/>
    </xf>
    <xf numFmtId="0" fontId="16" fillId="0" borderId="0" xfId="0" applyFont="1"/>
    <xf numFmtId="2" fontId="13" fillId="2" borderId="12" xfId="0" applyNumberFormat="1" applyFont="1" applyFill="1" applyBorder="1" applyAlignment="1">
      <alignment horizontal="center" vertical="center" wrapText="1"/>
    </xf>
    <xf numFmtId="164" fontId="1" fillId="2" borderId="12" xfId="0" applyNumberFormat="1" applyFont="1" applyFill="1" applyBorder="1" applyAlignment="1">
      <alignment horizontal="center" vertical="center" wrapText="1"/>
    </xf>
    <xf numFmtId="2" fontId="2" fillId="2" borderId="12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right" vertical="center"/>
    </xf>
    <xf numFmtId="164" fontId="1" fillId="0" borderId="12" xfId="0" applyNumberFormat="1" applyFont="1" applyBorder="1" applyAlignment="1">
      <alignment vertical="center" wrapText="1"/>
    </xf>
    <xf numFmtId="164" fontId="1" fillId="0" borderId="12" xfId="0" applyNumberFormat="1" applyFont="1" applyBorder="1" applyAlignment="1">
      <alignment horizontal="right" vertical="center" wrapText="1"/>
    </xf>
    <xf numFmtId="165" fontId="1" fillId="0" borderId="12" xfId="0" applyNumberFormat="1" applyFont="1" applyBorder="1" applyAlignment="1">
      <alignment horizontal="right" vertical="center" wrapText="1"/>
    </xf>
    <xf numFmtId="164" fontId="2" fillId="0" borderId="12" xfId="0" applyNumberFormat="1" applyFont="1" applyBorder="1" applyAlignment="1">
      <alignment vertical="center" wrapText="1"/>
    </xf>
    <xf numFmtId="165" fontId="2" fillId="0" borderId="12" xfId="0" applyNumberFormat="1" applyFont="1" applyBorder="1" applyAlignment="1">
      <alignment horizontal="right" vertical="center" wrapText="1"/>
    </xf>
    <xf numFmtId="0" fontId="2" fillId="0" borderId="0" xfId="0" applyFont="1" applyBorder="1" applyAlignment="1">
      <alignment horizontal="right" vertical="center" wrapText="1"/>
    </xf>
    <xf numFmtId="0" fontId="2" fillId="0" borderId="12" xfId="0" applyFont="1" applyBorder="1" applyAlignment="1">
      <alignment horizontal="right" vertical="center" wrapText="1"/>
    </xf>
    <xf numFmtId="2" fontId="2" fillId="0" borderId="12" xfId="0" applyNumberFormat="1" applyFont="1" applyBorder="1" applyAlignment="1">
      <alignment horizontal="right" vertical="center" wrapText="1"/>
    </xf>
    <xf numFmtId="164" fontId="2" fillId="0" borderId="12" xfId="0" applyNumberFormat="1" applyFont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164" fontId="1" fillId="0" borderId="18" xfId="0" applyNumberFormat="1" applyFont="1" applyFill="1" applyBorder="1" applyAlignment="1">
      <alignment horizontal="right" vertical="center" wrapText="1"/>
    </xf>
    <xf numFmtId="164" fontId="2" fillId="2" borderId="12" xfId="0" applyNumberFormat="1" applyFont="1" applyFill="1" applyBorder="1" applyAlignment="1">
      <alignment horizontal="center" vertical="center" wrapText="1"/>
    </xf>
    <xf numFmtId="165" fontId="1" fillId="2" borderId="12" xfId="0" applyNumberFormat="1" applyFont="1" applyFill="1" applyBorder="1" applyAlignment="1">
      <alignment horizontal="center" vertical="center" wrapText="1"/>
    </xf>
    <xf numFmtId="165" fontId="2" fillId="2" borderId="12" xfId="0" applyNumberFormat="1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left" vertical="center" wrapText="1"/>
    </xf>
    <xf numFmtId="164" fontId="14" fillId="2" borderId="12" xfId="0" applyNumberFormat="1" applyFont="1" applyFill="1" applyBorder="1" applyAlignment="1">
      <alignment horizontal="center" vertical="center" wrapText="1"/>
    </xf>
    <xf numFmtId="165" fontId="14" fillId="2" borderId="12" xfId="0" applyNumberFormat="1" applyFont="1" applyFill="1" applyBorder="1" applyAlignment="1">
      <alignment horizontal="center" vertical="center" wrapText="1"/>
    </xf>
    <xf numFmtId="0" fontId="14" fillId="2" borderId="12" xfId="0" applyFont="1" applyFill="1" applyBorder="1" applyAlignment="1">
      <alignment vertical="center" wrapText="1"/>
    </xf>
    <xf numFmtId="0" fontId="2" fillId="2" borderId="12" xfId="0" applyFont="1" applyFill="1" applyBorder="1" applyAlignment="1">
      <alignment vertical="center" wrapText="1"/>
    </xf>
    <xf numFmtId="165" fontId="2" fillId="2" borderId="12" xfId="0" applyNumberFormat="1" applyFont="1" applyFill="1" applyBorder="1" applyAlignment="1">
      <alignment vertical="center" wrapText="1"/>
    </xf>
    <xf numFmtId="0" fontId="2" fillId="0" borderId="6" xfId="0" applyFont="1" applyBorder="1" applyAlignment="1">
      <alignment vertical="center" wrapText="1"/>
    </xf>
    <xf numFmtId="2" fontId="1" fillId="2" borderId="12" xfId="0" applyNumberFormat="1" applyFont="1" applyFill="1" applyBorder="1" applyAlignment="1">
      <alignment horizontal="center" vertical="center" wrapText="1"/>
    </xf>
    <xf numFmtId="164" fontId="2" fillId="2" borderId="12" xfId="0" applyNumberFormat="1" applyFont="1" applyFill="1" applyBorder="1" applyAlignment="1">
      <alignment vertical="center" wrapText="1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1" fillId="0" borderId="15" xfId="0" applyFont="1" applyFill="1" applyBorder="1" applyAlignment="1">
      <alignment horizontal="center" vertical="center"/>
    </xf>
    <xf numFmtId="0" fontId="1" fillId="0" borderId="17" xfId="0" applyFont="1" applyFill="1" applyBorder="1" applyAlignment="1">
      <alignment horizontal="center" vertical="center"/>
    </xf>
    <xf numFmtId="0" fontId="2" fillId="0" borderId="16" xfId="0" applyFont="1" applyFill="1" applyBorder="1" applyAlignment="1">
      <alignment horizontal="center"/>
    </xf>
    <xf numFmtId="0" fontId="2" fillId="0" borderId="17" xfId="0" applyFont="1" applyFill="1" applyBorder="1" applyAlignment="1">
      <alignment horizontal="center"/>
    </xf>
    <xf numFmtId="0" fontId="2" fillId="0" borderId="15" xfId="0" applyFont="1" applyFill="1" applyBorder="1" applyAlignment="1">
      <alignment horizontal="left" vertical="center" wrapText="1"/>
    </xf>
    <xf numFmtId="0" fontId="2" fillId="0" borderId="16" xfId="0" applyFont="1" applyFill="1" applyBorder="1" applyAlignment="1">
      <alignment horizontal="left" vertical="center" wrapText="1"/>
    </xf>
    <xf numFmtId="0" fontId="2" fillId="0" borderId="17" xfId="0" applyFont="1" applyFill="1" applyBorder="1" applyAlignment="1">
      <alignment horizontal="left" vertical="center" wrapText="1"/>
    </xf>
    <xf numFmtId="0" fontId="1" fillId="0" borderId="15" xfId="0" applyFont="1" applyFill="1" applyBorder="1" applyAlignment="1">
      <alignment horizontal="left" vertical="center"/>
    </xf>
    <xf numFmtId="0" fontId="1" fillId="0" borderId="16" xfId="0" applyFont="1" applyFill="1" applyBorder="1" applyAlignment="1">
      <alignment horizontal="left" vertical="center"/>
    </xf>
    <xf numFmtId="0" fontId="1" fillId="0" borderId="17" xfId="0" applyFont="1" applyFill="1" applyBorder="1" applyAlignment="1">
      <alignment horizontal="left" vertical="center"/>
    </xf>
    <xf numFmtId="0" fontId="2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0" fillId="2" borderId="10" xfId="0" applyFont="1" applyFill="1" applyBorder="1" applyAlignment="1">
      <alignment horizontal="center" vertical="center" wrapText="1"/>
    </xf>
    <xf numFmtId="0" fontId="10" fillId="2" borderId="11" xfId="0" applyFont="1" applyFill="1" applyBorder="1" applyAlignment="1">
      <alignment horizontal="center" vertical="center" wrapText="1"/>
    </xf>
    <xf numFmtId="0" fontId="10" fillId="2" borderId="8" xfId="0" applyFont="1" applyFill="1" applyBorder="1" applyAlignment="1">
      <alignment horizontal="center" vertical="center" wrapText="1"/>
    </xf>
    <xf numFmtId="0" fontId="10" fillId="2" borderId="9" xfId="0" applyFont="1" applyFill="1" applyBorder="1" applyAlignment="1">
      <alignment horizontal="center" vertical="center" wrapText="1"/>
    </xf>
    <xf numFmtId="0" fontId="10" fillId="2" borderId="7" xfId="0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0" xfId="0" applyFont="1" applyFill="1" applyBorder="1" applyAlignment="1">
      <alignment horizontal="center" vertical="center"/>
    </xf>
    <xf numFmtId="0" fontId="14" fillId="0" borderId="0" xfId="0" applyFont="1" applyFill="1" applyBorder="1" applyAlignment="1">
      <alignment horizontal="center" vertical="center"/>
    </xf>
    <xf numFmtId="0" fontId="14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right" vertical="center"/>
    </xf>
    <xf numFmtId="0" fontId="2" fillId="0" borderId="0" xfId="0" applyFont="1" applyFill="1" applyBorder="1" applyAlignment="1">
      <alignment horizontal="right" vertical="center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04"/>
  <sheetViews>
    <sheetView tabSelected="1" view="pageBreakPreview" zoomScaleNormal="100" zoomScaleSheetLayoutView="100" workbookViewId="0">
      <selection activeCell="E8" sqref="E8"/>
    </sheetView>
  </sheetViews>
  <sheetFormatPr defaultColWidth="8.85546875" defaultRowHeight="15.75" x14ac:dyDescent="0.25"/>
  <cols>
    <col min="1" max="1" width="44.140625" style="2" customWidth="1"/>
    <col min="2" max="2" width="8.28515625" style="5" customWidth="1"/>
    <col min="3" max="3" width="9.28515625" style="52" customWidth="1"/>
    <col min="4" max="4" width="10.5703125" style="52" customWidth="1"/>
    <col min="5" max="5" width="13.28515625" style="2" customWidth="1"/>
    <col min="6" max="6" width="13.7109375" style="2" customWidth="1"/>
    <col min="7" max="16384" width="8.85546875" style="2"/>
  </cols>
  <sheetData>
    <row r="1" spans="1:11" s="19" customFormat="1" ht="20.25" x14ac:dyDescent="0.25">
      <c r="B1" s="145"/>
      <c r="C1" s="146"/>
      <c r="D1" s="147"/>
      <c r="E1" s="148"/>
      <c r="F1" s="149" t="s">
        <v>194</v>
      </c>
    </row>
    <row r="2" spans="1:11" s="19" customFormat="1" ht="18" customHeight="1" x14ac:dyDescent="0.25">
      <c r="B2" s="150" t="s">
        <v>193</v>
      </c>
      <c r="C2" s="150"/>
      <c r="D2" s="150"/>
      <c r="E2" s="150"/>
      <c r="F2" s="150"/>
    </row>
    <row r="3" spans="1:11" s="19" customFormat="1" ht="18.600000000000001" customHeight="1" x14ac:dyDescent="0.25">
      <c r="B3" s="150" t="s">
        <v>195</v>
      </c>
      <c r="C3" s="150"/>
      <c r="D3" s="150"/>
      <c r="E3" s="150"/>
      <c r="F3" s="150"/>
    </row>
    <row r="4" spans="1:11" s="19" customFormat="1" ht="20.25" x14ac:dyDescent="0.25">
      <c r="B4" s="145"/>
      <c r="C4" s="150" t="s">
        <v>196</v>
      </c>
      <c r="D4" s="150"/>
      <c r="E4" s="150"/>
      <c r="F4" s="150"/>
    </row>
    <row r="5" spans="1:11" x14ac:dyDescent="0.25">
      <c r="B5" s="2"/>
    </row>
    <row r="6" spans="1:11" x14ac:dyDescent="0.25">
      <c r="A6" s="6"/>
      <c r="B6" s="112"/>
      <c r="C6" s="112"/>
      <c r="D6" s="113"/>
      <c r="E6" s="110" t="s">
        <v>0</v>
      </c>
      <c r="F6" s="111"/>
      <c r="G6" s="29"/>
    </row>
    <row r="7" spans="1:11" ht="67.150000000000006" customHeight="1" x14ac:dyDescent="0.25">
      <c r="A7" s="7" t="s">
        <v>1</v>
      </c>
      <c r="B7" s="114" t="s">
        <v>166</v>
      </c>
      <c r="C7" s="115"/>
      <c r="D7" s="116"/>
      <c r="E7" s="7" t="s">
        <v>2</v>
      </c>
      <c r="F7" s="8">
        <v>38395183</v>
      </c>
    </row>
    <row r="8" spans="1:11" ht="42.6" customHeight="1" x14ac:dyDescent="0.25">
      <c r="A8" s="7" t="s">
        <v>3</v>
      </c>
      <c r="B8" s="114" t="s">
        <v>167</v>
      </c>
      <c r="C8" s="115"/>
      <c r="D8" s="116"/>
      <c r="E8" s="7" t="s">
        <v>4</v>
      </c>
      <c r="F8" s="7"/>
    </row>
    <row r="9" spans="1:11" ht="15.6" customHeight="1" x14ac:dyDescent="0.25">
      <c r="A9" s="7" t="s">
        <v>5</v>
      </c>
      <c r="B9" s="114" t="s">
        <v>176</v>
      </c>
      <c r="C9" s="115"/>
      <c r="D9" s="116"/>
      <c r="E9" s="7" t="s">
        <v>6</v>
      </c>
      <c r="F9" s="9"/>
    </row>
    <row r="10" spans="1:11" ht="34.9" customHeight="1" x14ac:dyDescent="0.25">
      <c r="A10" s="8" t="s">
        <v>7</v>
      </c>
      <c r="B10" s="114" t="s">
        <v>168</v>
      </c>
      <c r="C10" s="115"/>
      <c r="D10" s="116"/>
      <c r="E10" s="7" t="s">
        <v>8</v>
      </c>
      <c r="F10" s="9"/>
      <c r="K10" s="5"/>
    </row>
    <row r="11" spans="1:11" ht="61.9" customHeight="1" x14ac:dyDescent="0.25">
      <c r="A11" s="7" t="s">
        <v>9</v>
      </c>
      <c r="B11" s="114" t="s">
        <v>180</v>
      </c>
      <c r="C11" s="115"/>
      <c r="D11" s="116"/>
      <c r="E11" s="7" t="s">
        <v>10</v>
      </c>
      <c r="F11" s="3"/>
    </row>
    <row r="12" spans="1:11" ht="19.149999999999999" customHeight="1" x14ac:dyDescent="0.25">
      <c r="A12" s="7" t="s">
        <v>11</v>
      </c>
      <c r="B12" s="117"/>
      <c r="C12" s="118"/>
      <c r="D12" s="119"/>
      <c r="E12" s="6"/>
      <c r="F12" s="9"/>
    </row>
    <row r="13" spans="1:11" ht="18.600000000000001" customHeight="1" x14ac:dyDescent="0.25">
      <c r="A13" s="8" t="s">
        <v>12</v>
      </c>
      <c r="B13" s="114" t="s">
        <v>169</v>
      </c>
      <c r="C13" s="115"/>
      <c r="D13" s="116"/>
      <c r="E13" s="6"/>
      <c r="F13" s="9"/>
    </row>
    <row r="14" spans="1:11" x14ac:dyDescent="0.25">
      <c r="A14" s="10"/>
      <c r="C14" s="2"/>
      <c r="D14" s="2"/>
      <c r="G14" s="28"/>
    </row>
    <row r="15" spans="1:11" x14ac:dyDescent="0.25">
      <c r="A15" s="108" t="s">
        <v>13</v>
      </c>
      <c r="B15" s="108"/>
      <c r="C15" s="108"/>
      <c r="D15" s="108"/>
      <c r="E15" s="108"/>
      <c r="F15" s="108"/>
      <c r="G15" s="30"/>
    </row>
    <row r="16" spans="1:11" ht="36" customHeight="1" x14ac:dyDescent="0.25">
      <c r="A16" s="109" t="s">
        <v>170</v>
      </c>
      <c r="B16" s="109"/>
      <c r="C16" s="109"/>
      <c r="D16" s="109"/>
      <c r="E16" s="109"/>
      <c r="F16" s="109"/>
      <c r="G16" s="1"/>
    </row>
    <row r="17" spans="1:9" x14ac:dyDescent="0.25">
      <c r="A17" s="108" t="s">
        <v>190</v>
      </c>
      <c r="B17" s="108"/>
      <c r="C17" s="108"/>
      <c r="D17" s="108"/>
      <c r="E17" s="108"/>
      <c r="F17" s="108"/>
      <c r="G17" s="1"/>
    </row>
    <row r="18" spans="1:9" x14ac:dyDescent="0.25">
      <c r="A18" s="11"/>
      <c r="C18" s="2"/>
      <c r="D18" s="2"/>
      <c r="F18" s="11" t="s">
        <v>14</v>
      </c>
      <c r="G18" s="1"/>
    </row>
    <row r="19" spans="1:9" x14ac:dyDescent="0.25">
      <c r="A19" s="108" t="s">
        <v>15</v>
      </c>
      <c r="B19" s="108"/>
      <c r="C19" s="108"/>
      <c r="D19" s="108"/>
      <c r="E19" s="108"/>
      <c r="F19" s="108"/>
      <c r="G19" s="1"/>
    </row>
    <row r="20" spans="1:9" x14ac:dyDescent="0.25">
      <c r="C20" s="2"/>
      <c r="D20" s="2"/>
      <c r="G20" s="1"/>
    </row>
    <row r="21" spans="1:9" s="5" customFormat="1" ht="15" customHeight="1" x14ac:dyDescent="0.25">
      <c r="A21" s="123" t="s">
        <v>16</v>
      </c>
      <c r="B21" s="123" t="s">
        <v>95</v>
      </c>
      <c r="C21" s="125" t="s">
        <v>19</v>
      </c>
      <c r="D21" s="126"/>
      <c r="E21" s="126"/>
      <c r="F21" s="127"/>
      <c r="G21" s="1"/>
    </row>
    <row r="22" spans="1:9" s="5" customFormat="1" ht="36" customHeight="1" x14ac:dyDescent="0.25">
      <c r="A22" s="124"/>
      <c r="B22" s="124"/>
      <c r="C22" s="4" t="s">
        <v>20</v>
      </c>
      <c r="D22" s="4" t="s">
        <v>21</v>
      </c>
      <c r="E22" s="4" t="s">
        <v>22</v>
      </c>
      <c r="F22" s="4" t="s">
        <v>23</v>
      </c>
      <c r="G22" s="1"/>
    </row>
    <row r="23" spans="1:9" s="5" customFormat="1" x14ac:dyDescent="0.25">
      <c r="A23" s="4">
        <v>1</v>
      </c>
      <c r="B23" s="4">
        <v>2</v>
      </c>
      <c r="C23" s="4">
        <v>3</v>
      </c>
      <c r="D23" s="4">
        <v>4</v>
      </c>
      <c r="E23" s="4">
        <v>5</v>
      </c>
      <c r="F23" s="4">
        <v>6</v>
      </c>
      <c r="G23" s="1"/>
    </row>
    <row r="24" spans="1:9" x14ac:dyDescent="0.25">
      <c r="A24" s="8" t="s">
        <v>24</v>
      </c>
      <c r="B24" s="4"/>
      <c r="C24" s="3"/>
      <c r="D24" s="3"/>
      <c r="E24" s="3"/>
      <c r="F24" s="3"/>
      <c r="G24" s="1"/>
    </row>
    <row r="25" spans="1:9" ht="30.6" customHeight="1" x14ac:dyDescent="0.25">
      <c r="A25" s="8" t="s">
        <v>25</v>
      </c>
      <c r="B25" s="12">
        <v>100</v>
      </c>
      <c r="C25" s="66">
        <f>SUM(C26:C29)</f>
        <v>7550.5</v>
      </c>
      <c r="D25" s="66">
        <f>SUM(D26:D29)</f>
        <v>6044.3</v>
      </c>
      <c r="E25" s="67">
        <f>D25-C25</f>
        <v>-1506.1999999999998</v>
      </c>
      <c r="F25" s="68">
        <f>D25/C25</f>
        <v>0.8005165220846302</v>
      </c>
      <c r="G25" s="1"/>
    </row>
    <row r="26" spans="1:9" x14ac:dyDescent="0.25">
      <c r="A26" s="13" t="s">
        <v>26</v>
      </c>
      <c r="B26" s="4">
        <v>101</v>
      </c>
      <c r="C26" s="88">
        <v>1209.5999999999999</v>
      </c>
      <c r="D26" s="49">
        <v>1167.8</v>
      </c>
      <c r="E26" s="73">
        <f t="shared" ref="E26:E78" si="0">D26-C26</f>
        <v>-41.799999999999955</v>
      </c>
      <c r="F26" s="69">
        <f t="shared" ref="F26:F71" si="1">D26/C26</f>
        <v>0.96544312169312174</v>
      </c>
      <c r="G26" s="1"/>
    </row>
    <row r="27" spans="1:9" x14ac:dyDescent="0.25">
      <c r="A27" s="13" t="s">
        <v>27</v>
      </c>
      <c r="B27" s="4">
        <v>102</v>
      </c>
      <c r="C27" s="88"/>
      <c r="D27" s="78"/>
      <c r="E27" s="73"/>
      <c r="F27" s="69"/>
      <c r="G27" s="1"/>
    </row>
    <row r="28" spans="1:9" x14ac:dyDescent="0.25">
      <c r="A28" s="13" t="s">
        <v>28</v>
      </c>
      <c r="B28" s="4">
        <v>103</v>
      </c>
      <c r="C28" s="88">
        <f>4946.4+1500-170</f>
        <v>6276.4</v>
      </c>
      <c r="D28" s="49">
        <v>4797.6000000000004</v>
      </c>
      <c r="E28" s="73">
        <f t="shared" si="0"/>
        <v>-1478.7999999999993</v>
      </c>
      <c r="F28" s="69">
        <f t="shared" si="1"/>
        <v>0.76438722834746042</v>
      </c>
      <c r="G28" s="1"/>
    </row>
    <row r="29" spans="1:9" x14ac:dyDescent="0.25">
      <c r="A29" s="13" t="s">
        <v>29</v>
      </c>
      <c r="B29" s="4">
        <v>104</v>
      </c>
      <c r="C29" s="88">
        <v>64.5</v>
      </c>
      <c r="D29" s="49">
        <v>78.900000000000006</v>
      </c>
      <c r="E29" s="73">
        <f>D29-C29</f>
        <v>14.400000000000006</v>
      </c>
      <c r="F29" s="69">
        <f t="shared" si="1"/>
        <v>1.2232558139534884</v>
      </c>
      <c r="G29" s="1"/>
    </row>
    <row r="30" spans="1:9" ht="29.45" customHeight="1" x14ac:dyDescent="0.25">
      <c r="A30" s="8" t="s">
        <v>30</v>
      </c>
      <c r="B30" s="12">
        <v>200</v>
      </c>
      <c r="C30" s="66">
        <f>SUM(C31:C54)</f>
        <v>6346.84</v>
      </c>
      <c r="D30" s="66">
        <f>SUM(D31:D54)</f>
        <v>5026.0999999999995</v>
      </c>
      <c r="E30" s="67">
        <f t="shared" si="0"/>
        <v>-1320.7400000000007</v>
      </c>
      <c r="F30" s="68">
        <f t="shared" si="1"/>
        <v>0.79190589332644268</v>
      </c>
      <c r="G30" s="1"/>
    </row>
    <row r="31" spans="1:9" ht="22.15" customHeight="1" x14ac:dyDescent="0.25">
      <c r="A31" s="3" t="s">
        <v>31</v>
      </c>
      <c r="B31" s="4">
        <v>201</v>
      </c>
      <c r="C31" s="88"/>
      <c r="D31" s="78"/>
      <c r="E31" s="73"/>
      <c r="F31" s="69"/>
      <c r="G31" s="1"/>
    </row>
    <row r="32" spans="1:9" ht="15" customHeight="1" x14ac:dyDescent="0.25">
      <c r="A32" s="3" t="s">
        <v>32</v>
      </c>
      <c r="B32" s="4">
        <v>202</v>
      </c>
      <c r="C32" s="88">
        <f>70+1</f>
        <v>71</v>
      </c>
      <c r="D32" s="88">
        <v>22.7</v>
      </c>
      <c r="E32" s="73">
        <f t="shared" si="0"/>
        <v>-48.3</v>
      </c>
      <c r="F32" s="69">
        <f t="shared" si="1"/>
        <v>0.31971830985915489</v>
      </c>
      <c r="G32" s="1"/>
      <c r="I32" s="2">
        <v>202</v>
      </c>
    </row>
    <row r="33" spans="1:9" x14ac:dyDescent="0.25">
      <c r="A33" s="3" t="s">
        <v>33</v>
      </c>
      <c r="B33" s="4">
        <v>203</v>
      </c>
      <c r="C33" s="88">
        <f>126.2-40</f>
        <v>86.2</v>
      </c>
      <c r="D33" s="88">
        <v>83.5</v>
      </c>
      <c r="E33" s="73">
        <f t="shared" si="0"/>
        <v>-2.7000000000000028</v>
      </c>
      <c r="F33" s="69">
        <f t="shared" si="1"/>
        <v>0.96867749419953597</v>
      </c>
      <c r="G33" s="1"/>
    </row>
    <row r="34" spans="1:9" x14ac:dyDescent="0.25">
      <c r="A34" s="3" t="s">
        <v>34</v>
      </c>
      <c r="B34" s="4">
        <v>204</v>
      </c>
      <c r="C34" s="88">
        <f>5250-C63</f>
        <v>4328.2</v>
      </c>
      <c r="D34" s="88">
        <f>3964.9+205-D63</f>
        <v>3261.9999999999995</v>
      </c>
      <c r="E34" s="73">
        <f t="shared" si="0"/>
        <v>-1066.2000000000003</v>
      </c>
      <c r="F34" s="69">
        <f t="shared" si="1"/>
        <v>0.75366203040524926</v>
      </c>
      <c r="G34" s="1"/>
    </row>
    <row r="35" spans="1:9" x14ac:dyDescent="0.25">
      <c r="A35" s="3" t="s">
        <v>35</v>
      </c>
      <c r="B35" s="4">
        <v>205</v>
      </c>
      <c r="C35" s="88">
        <f>1102.5-C64</f>
        <v>918.14</v>
      </c>
      <c r="D35" s="88">
        <f>799.3+84.6-D64</f>
        <v>702.3</v>
      </c>
      <c r="E35" s="73">
        <f t="shared" si="0"/>
        <v>-215.84000000000003</v>
      </c>
      <c r="F35" s="69">
        <f t="shared" si="1"/>
        <v>0.76491602587840635</v>
      </c>
      <c r="G35" s="1"/>
    </row>
    <row r="36" spans="1:9" ht="66" customHeight="1" x14ac:dyDescent="0.25">
      <c r="A36" s="3" t="s">
        <v>36</v>
      </c>
      <c r="B36" s="4">
        <v>206</v>
      </c>
      <c r="C36" s="88">
        <f>6+5+20</f>
        <v>31</v>
      </c>
      <c r="D36" s="49">
        <v>13.9</v>
      </c>
      <c r="E36" s="73">
        <f t="shared" si="0"/>
        <v>-17.100000000000001</v>
      </c>
      <c r="F36" s="69">
        <f t="shared" si="1"/>
        <v>0.44838709677419358</v>
      </c>
      <c r="G36" s="1"/>
    </row>
    <row r="37" spans="1:9" ht="33" customHeight="1" x14ac:dyDescent="0.25">
      <c r="A37" s="3" t="s">
        <v>37</v>
      </c>
      <c r="B37" s="4">
        <v>207</v>
      </c>
      <c r="C37" s="88"/>
      <c r="D37" s="78"/>
      <c r="E37" s="73"/>
      <c r="F37" s="69"/>
      <c r="G37" s="1"/>
    </row>
    <row r="38" spans="1:9" ht="31.5" x14ac:dyDescent="0.25">
      <c r="A38" s="49" t="s">
        <v>189</v>
      </c>
      <c r="B38" s="4">
        <v>208</v>
      </c>
      <c r="C38" s="88">
        <f>225+270</f>
        <v>495</v>
      </c>
      <c r="D38" s="49">
        <v>490.6</v>
      </c>
      <c r="E38" s="73">
        <f t="shared" si="0"/>
        <v>-4.3999999999999773</v>
      </c>
      <c r="F38" s="69">
        <f t="shared" si="1"/>
        <v>0.99111111111111116</v>
      </c>
      <c r="G38" s="1"/>
    </row>
    <row r="39" spans="1:9" x14ac:dyDescent="0.25">
      <c r="A39" s="3" t="s">
        <v>39</v>
      </c>
      <c r="B39" s="4">
        <v>209</v>
      </c>
      <c r="C39" s="88">
        <v>0</v>
      </c>
      <c r="D39" s="49">
        <v>135.80000000000001</v>
      </c>
      <c r="E39" s="73">
        <f t="shared" si="0"/>
        <v>135.80000000000001</v>
      </c>
      <c r="F39" s="69"/>
      <c r="G39" s="1"/>
    </row>
    <row r="40" spans="1:9" x14ac:dyDescent="0.25">
      <c r="A40" s="3" t="s">
        <v>40</v>
      </c>
      <c r="B40" s="4">
        <v>210</v>
      </c>
      <c r="C40" s="88">
        <v>60.2</v>
      </c>
      <c r="D40" s="88">
        <v>44</v>
      </c>
      <c r="E40" s="73">
        <f t="shared" si="0"/>
        <v>-16.200000000000003</v>
      </c>
      <c r="F40" s="69">
        <f t="shared" si="1"/>
        <v>0.73089700996677742</v>
      </c>
      <c r="G40" s="1"/>
    </row>
    <row r="41" spans="1:9" x14ac:dyDescent="0.25">
      <c r="A41" s="3" t="s">
        <v>41</v>
      </c>
      <c r="B41" s="4">
        <v>211</v>
      </c>
      <c r="C41" s="88">
        <v>11.1</v>
      </c>
      <c r="D41" s="49">
        <v>3.1</v>
      </c>
      <c r="E41" s="73">
        <f t="shared" si="0"/>
        <v>-8</v>
      </c>
      <c r="F41" s="69">
        <f t="shared" si="1"/>
        <v>0.27927927927927931</v>
      </c>
      <c r="G41" s="1"/>
    </row>
    <row r="42" spans="1:9" x14ac:dyDescent="0.25">
      <c r="A42" s="3" t="s">
        <v>42</v>
      </c>
      <c r="B42" s="4">
        <v>212</v>
      </c>
      <c r="C42" s="88">
        <f>205-C51</f>
        <v>202.5</v>
      </c>
      <c r="D42" s="78"/>
      <c r="E42" s="73">
        <f t="shared" si="0"/>
        <v>-202.5</v>
      </c>
      <c r="F42" s="69">
        <f t="shared" si="1"/>
        <v>0</v>
      </c>
      <c r="G42" s="1"/>
    </row>
    <row r="43" spans="1:9" ht="30" customHeight="1" x14ac:dyDescent="0.25">
      <c r="A43" s="3" t="s">
        <v>43</v>
      </c>
      <c r="B43" s="4">
        <v>213</v>
      </c>
      <c r="C43" s="88">
        <f>30+15</f>
        <v>45</v>
      </c>
      <c r="D43" s="49">
        <f>37.4</f>
        <v>37.4</v>
      </c>
      <c r="E43" s="73">
        <f t="shared" si="0"/>
        <v>-7.6000000000000014</v>
      </c>
      <c r="F43" s="69">
        <f t="shared" si="1"/>
        <v>0.83111111111111113</v>
      </c>
      <c r="I43" s="31" t="s">
        <v>177</v>
      </c>
    </row>
    <row r="44" spans="1:9" ht="33.6" customHeight="1" x14ac:dyDescent="0.25">
      <c r="A44" s="3" t="s">
        <v>44</v>
      </c>
      <c r="B44" s="4">
        <v>214</v>
      </c>
      <c r="C44" s="88">
        <f>35+15</f>
        <v>50</v>
      </c>
      <c r="D44" s="49">
        <f>63.1+97</f>
        <v>160.1</v>
      </c>
      <c r="E44" s="73">
        <f t="shared" si="0"/>
        <v>110.1</v>
      </c>
      <c r="F44" s="69">
        <f t="shared" si="1"/>
        <v>3.202</v>
      </c>
    </row>
    <row r="45" spans="1:9" x14ac:dyDescent="0.25">
      <c r="A45" s="3" t="s">
        <v>45</v>
      </c>
      <c r="B45" s="4">
        <v>215</v>
      </c>
      <c r="C45" s="88"/>
      <c r="D45" s="78"/>
      <c r="E45" s="73"/>
      <c r="F45" s="69"/>
    </row>
    <row r="46" spans="1:9" x14ac:dyDescent="0.25">
      <c r="A46" s="3" t="s">
        <v>46</v>
      </c>
      <c r="B46" s="4">
        <v>216</v>
      </c>
      <c r="C46" s="88"/>
      <c r="D46" s="78"/>
      <c r="E46" s="73"/>
      <c r="F46" s="69"/>
    </row>
    <row r="47" spans="1:9" x14ac:dyDescent="0.25">
      <c r="A47" s="3" t="s">
        <v>47</v>
      </c>
      <c r="B47" s="4">
        <v>217</v>
      </c>
      <c r="C47" s="88">
        <v>1</v>
      </c>
      <c r="D47" s="49">
        <v>0.6</v>
      </c>
      <c r="E47" s="73">
        <f t="shared" si="0"/>
        <v>-0.4</v>
      </c>
      <c r="F47" s="69"/>
    </row>
    <row r="48" spans="1:9" ht="46.9" customHeight="1" x14ac:dyDescent="0.25">
      <c r="A48" s="3" t="s">
        <v>48</v>
      </c>
      <c r="B48" s="4">
        <v>218</v>
      </c>
      <c r="C48" s="88"/>
      <c r="D48" s="78"/>
      <c r="E48" s="73"/>
      <c r="F48" s="69"/>
    </row>
    <row r="49" spans="1:9" x14ac:dyDescent="0.25">
      <c r="A49" s="3" t="s">
        <v>49</v>
      </c>
      <c r="B49" s="4">
        <v>219</v>
      </c>
      <c r="C49" s="88">
        <f>4+2</f>
        <v>6</v>
      </c>
      <c r="D49" s="49">
        <v>4.7</v>
      </c>
      <c r="E49" s="73">
        <f t="shared" si="0"/>
        <v>-1.2999999999999998</v>
      </c>
      <c r="F49" s="69">
        <f t="shared" si="1"/>
        <v>0.78333333333333333</v>
      </c>
    </row>
    <row r="50" spans="1:9" x14ac:dyDescent="0.25">
      <c r="A50" s="3" t="s">
        <v>50</v>
      </c>
      <c r="B50" s="4">
        <v>220</v>
      </c>
      <c r="C50" s="88">
        <v>0</v>
      </c>
      <c r="D50" s="49">
        <f>20.7+18.7</f>
        <v>39.4</v>
      </c>
      <c r="E50" s="73">
        <f t="shared" si="0"/>
        <v>39.4</v>
      </c>
      <c r="F50" s="69"/>
    </row>
    <row r="51" spans="1:9" x14ac:dyDescent="0.25">
      <c r="A51" s="3" t="s">
        <v>51</v>
      </c>
      <c r="B51" s="4">
        <v>221</v>
      </c>
      <c r="C51" s="88">
        <v>2.5</v>
      </c>
      <c r="D51" s="49">
        <v>1.3</v>
      </c>
      <c r="E51" s="73">
        <f t="shared" si="0"/>
        <v>-1.2</v>
      </c>
      <c r="F51" s="69">
        <f t="shared" si="1"/>
        <v>0.52</v>
      </c>
    </row>
    <row r="52" spans="1:9" ht="30.6" customHeight="1" x14ac:dyDescent="0.25">
      <c r="A52" s="3" t="s">
        <v>52</v>
      </c>
      <c r="B52" s="4">
        <v>222</v>
      </c>
      <c r="C52" s="88"/>
      <c r="D52" s="78"/>
      <c r="E52" s="73"/>
      <c r="F52" s="69"/>
    </row>
    <row r="53" spans="1:9" ht="30.6" customHeight="1" x14ac:dyDescent="0.25">
      <c r="A53" s="3" t="s">
        <v>53</v>
      </c>
      <c r="B53" s="4">
        <v>223</v>
      </c>
      <c r="C53" s="88"/>
      <c r="D53" s="78"/>
      <c r="E53" s="73"/>
      <c r="F53" s="69"/>
    </row>
    <row r="54" spans="1:9" ht="18.600000000000001" customHeight="1" x14ac:dyDescent="0.25">
      <c r="A54" s="3" t="s">
        <v>54</v>
      </c>
      <c r="B54" s="4">
        <v>224</v>
      </c>
      <c r="C54" s="88">
        <f>35+5-2+1</f>
        <v>39</v>
      </c>
      <c r="D54" s="49">
        <v>24.7</v>
      </c>
      <c r="E54" s="73">
        <f t="shared" si="0"/>
        <v>-14.3</v>
      </c>
      <c r="F54" s="69">
        <f t="shared" si="1"/>
        <v>0.6333333333333333</v>
      </c>
      <c r="I54" s="2" t="s">
        <v>182</v>
      </c>
    </row>
    <row r="55" spans="1:9" ht="15" customHeight="1" x14ac:dyDescent="0.25">
      <c r="A55" s="8" t="s">
        <v>55</v>
      </c>
      <c r="B55" s="12">
        <v>300</v>
      </c>
      <c r="C55" s="66">
        <f>SUM(C56:C77)</f>
        <v>1214.3599999999997</v>
      </c>
      <c r="D55" s="66">
        <f>SUM(D56:D75)</f>
        <v>1180</v>
      </c>
      <c r="E55" s="67">
        <f t="shared" si="0"/>
        <v>-34.359999999999673</v>
      </c>
      <c r="F55" s="68">
        <f t="shared" si="1"/>
        <v>0.9717052603840709</v>
      </c>
    </row>
    <row r="56" spans="1:9" ht="33" customHeight="1" x14ac:dyDescent="0.25">
      <c r="A56" s="3" t="s">
        <v>56</v>
      </c>
      <c r="B56" s="4">
        <v>301</v>
      </c>
      <c r="C56" s="88">
        <v>7</v>
      </c>
      <c r="D56" s="49">
        <f>20+7.9</f>
        <v>27.9</v>
      </c>
      <c r="E56" s="73">
        <f t="shared" si="0"/>
        <v>20.9</v>
      </c>
      <c r="F56" s="69">
        <f t="shared" si="1"/>
        <v>3.9857142857142853</v>
      </c>
    </row>
    <row r="57" spans="1:9" ht="15" customHeight="1" x14ac:dyDescent="0.25">
      <c r="A57" s="3" t="s">
        <v>57</v>
      </c>
      <c r="B57" s="4">
        <v>302</v>
      </c>
      <c r="C57" s="88"/>
      <c r="D57" s="78"/>
      <c r="E57" s="73"/>
      <c r="F57" s="69"/>
    </row>
    <row r="58" spans="1:9" x14ac:dyDescent="0.25">
      <c r="A58" s="3" t="s">
        <v>58</v>
      </c>
      <c r="B58" s="4">
        <v>303</v>
      </c>
      <c r="C58" s="88"/>
      <c r="D58" s="78"/>
      <c r="E58" s="73"/>
      <c r="F58" s="69"/>
    </row>
    <row r="59" spans="1:9" x14ac:dyDescent="0.25">
      <c r="A59" s="3" t="s">
        <v>59</v>
      </c>
      <c r="B59" s="4">
        <v>304</v>
      </c>
      <c r="C59" s="88"/>
      <c r="D59" s="78"/>
      <c r="E59" s="73"/>
      <c r="F59" s="69"/>
    </row>
    <row r="60" spans="1:9" x14ac:dyDescent="0.25">
      <c r="A60" s="3" t="s">
        <v>60</v>
      </c>
      <c r="B60" s="4">
        <v>305</v>
      </c>
      <c r="C60" s="88"/>
      <c r="D60" s="78"/>
      <c r="E60" s="73"/>
      <c r="F60" s="69"/>
    </row>
    <row r="61" spans="1:9" x14ac:dyDescent="0.25">
      <c r="A61" s="3" t="s">
        <v>61</v>
      </c>
      <c r="B61" s="4">
        <v>306</v>
      </c>
      <c r="C61" s="88"/>
      <c r="D61" s="78"/>
      <c r="E61" s="73"/>
      <c r="F61" s="69"/>
    </row>
    <row r="62" spans="1:9" x14ac:dyDescent="0.25">
      <c r="A62" s="3" t="s">
        <v>62</v>
      </c>
      <c r="B62" s="4">
        <v>307</v>
      </c>
      <c r="C62" s="88">
        <v>12</v>
      </c>
      <c r="D62" s="88">
        <v>11</v>
      </c>
      <c r="E62" s="73">
        <f t="shared" si="0"/>
        <v>-1</v>
      </c>
      <c r="F62" s="69">
        <f t="shared" si="1"/>
        <v>0.91666666666666663</v>
      </c>
    </row>
    <row r="63" spans="1:9" x14ac:dyDescent="0.25">
      <c r="A63" s="3" t="s">
        <v>63</v>
      </c>
      <c r="B63" s="4">
        <v>308</v>
      </c>
      <c r="C63" s="88">
        <f t="shared" ref="C63" si="2">921.8</f>
        <v>921.8</v>
      </c>
      <c r="D63" s="49">
        <v>907.9</v>
      </c>
      <c r="E63" s="73">
        <f t="shared" si="0"/>
        <v>-13.899999999999977</v>
      </c>
      <c r="F63" s="69">
        <f t="shared" si="1"/>
        <v>0.9849208071165112</v>
      </c>
    </row>
    <row r="64" spans="1:9" x14ac:dyDescent="0.25">
      <c r="A64" s="3" t="s">
        <v>64</v>
      </c>
      <c r="B64" s="4">
        <v>309</v>
      </c>
      <c r="C64" s="88">
        <f t="shared" ref="C64" si="3">C63*20%</f>
        <v>184.36</v>
      </c>
      <c r="D64" s="49">
        <v>181.6</v>
      </c>
      <c r="E64" s="73">
        <f t="shared" si="0"/>
        <v>-2.7600000000000193</v>
      </c>
      <c r="F64" s="69">
        <f t="shared" si="1"/>
        <v>0.98502929051855059</v>
      </c>
    </row>
    <row r="65" spans="1:10" ht="46.9" customHeight="1" x14ac:dyDescent="0.25">
      <c r="A65" s="3" t="s">
        <v>65</v>
      </c>
      <c r="B65" s="4">
        <v>310</v>
      </c>
      <c r="C65" s="88"/>
      <c r="D65" s="78"/>
      <c r="E65" s="73"/>
      <c r="F65" s="69"/>
    </row>
    <row r="66" spans="1:10" ht="48.6" customHeight="1" x14ac:dyDescent="0.25">
      <c r="A66" s="3" t="s">
        <v>66</v>
      </c>
      <c r="B66" s="4">
        <v>311</v>
      </c>
      <c r="C66" s="88"/>
      <c r="D66" s="78"/>
      <c r="E66" s="73"/>
      <c r="F66" s="69"/>
    </row>
    <row r="67" spans="1:10" ht="31.5" x14ac:dyDescent="0.25">
      <c r="A67" s="3" t="s">
        <v>171</v>
      </c>
      <c r="B67" s="4">
        <v>312</v>
      </c>
      <c r="C67" s="88"/>
      <c r="D67" s="78"/>
      <c r="E67" s="73"/>
      <c r="F67" s="69"/>
    </row>
    <row r="68" spans="1:10" ht="34.15" customHeight="1" x14ac:dyDescent="0.25">
      <c r="A68" s="3" t="s">
        <v>67</v>
      </c>
      <c r="B68" s="4">
        <v>313</v>
      </c>
      <c r="C68" s="88"/>
      <c r="D68" s="78"/>
      <c r="E68" s="73"/>
      <c r="F68" s="69"/>
    </row>
    <row r="69" spans="1:10" x14ac:dyDescent="0.25">
      <c r="A69" s="3" t="s">
        <v>68</v>
      </c>
      <c r="B69" s="4">
        <v>314</v>
      </c>
      <c r="C69" s="88"/>
      <c r="D69" s="78"/>
      <c r="E69" s="73"/>
      <c r="F69" s="69"/>
    </row>
    <row r="70" spans="1:10" ht="15" customHeight="1" x14ac:dyDescent="0.25">
      <c r="A70" s="3" t="s">
        <v>69</v>
      </c>
      <c r="B70" s="4">
        <v>315</v>
      </c>
      <c r="C70" s="88"/>
      <c r="D70" s="78"/>
      <c r="E70" s="73"/>
      <c r="F70" s="69"/>
    </row>
    <row r="71" spans="1:10" x14ac:dyDescent="0.25">
      <c r="A71" s="3" t="s">
        <v>70</v>
      </c>
      <c r="B71" s="4">
        <v>316</v>
      </c>
      <c r="C71" s="88">
        <v>15</v>
      </c>
      <c r="D71" s="88">
        <f>25-10</f>
        <v>15</v>
      </c>
      <c r="E71" s="73">
        <f t="shared" si="0"/>
        <v>0</v>
      </c>
      <c r="F71" s="69">
        <f t="shared" si="1"/>
        <v>1</v>
      </c>
    </row>
    <row r="72" spans="1:10" x14ac:dyDescent="0.25">
      <c r="A72" s="3" t="s">
        <v>71</v>
      </c>
      <c r="B72" s="4">
        <v>317</v>
      </c>
      <c r="C72" s="88"/>
      <c r="D72" s="78"/>
      <c r="E72" s="73"/>
      <c r="F72" s="69"/>
    </row>
    <row r="73" spans="1:10" ht="33.6" customHeight="1" x14ac:dyDescent="0.25">
      <c r="A73" s="3" t="s">
        <v>72</v>
      </c>
      <c r="B73" s="4">
        <v>318</v>
      </c>
      <c r="C73" s="88">
        <v>0</v>
      </c>
      <c r="D73" s="49">
        <v>1.2</v>
      </c>
      <c r="E73" s="73">
        <f t="shared" si="0"/>
        <v>1.2</v>
      </c>
      <c r="F73" s="69"/>
    </row>
    <row r="74" spans="1:10" ht="31.9" customHeight="1" x14ac:dyDescent="0.25">
      <c r="A74" s="3" t="s">
        <v>73</v>
      </c>
      <c r="B74" s="4">
        <v>319</v>
      </c>
      <c r="C74" s="88"/>
      <c r="D74" s="78"/>
      <c r="E74" s="73"/>
      <c r="F74" s="69"/>
    </row>
    <row r="75" spans="1:10" ht="62.45" customHeight="1" x14ac:dyDescent="0.25">
      <c r="A75" s="8" t="s">
        <v>74</v>
      </c>
      <c r="B75" s="12">
        <v>320</v>
      </c>
      <c r="C75" s="66">
        <f>SUM(C76:C77)</f>
        <v>37.1</v>
      </c>
      <c r="D75" s="66">
        <f>SUM(D76:D77)</f>
        <v>35.4</v>
      </c>
      <c r="E75" s="67">
        <f t="shared" si="0"/>
        <v>-1.7000000000000028</v>
      </c>
      <c r="F75" s="69">
        <f t="shared" ref="F75:F77" si="4">D75/C75</f>
        <v>0.95417789757412397</v>
      </c>
    </row>
    <row r="76" spans="1:10" ht="15" customHeight="1" x14ac:dyDescent="0.25">
      <c r="A76" s="3" t="s">
        <v>75</v>
      </c>
      <c r="B76" s="4">
        <v>321</v>
      </c>
      <c r="C76" s="70"/>
      <c r="D76" s="50"/>
      <c r="E76" s="73"/>
      <c r="F76" s="69"/>
    </row>
    <row r="77" spans="1:10" ht="15" customHeight="1" x14ac:dyDescent="0.25">
      <c r="A77" s="3" t="s">
        <v>76</v>
      </c>
      <c r="B77" s="4">
        <v>322</v>
      </c>
      <c r="C77" s="88">
        <f>28.6+4+2.5+2</f>
        <v>37.1</v>
      </c>
      <c r="D77" s="88">
        <v>35.4</v>
      </c>
      <c r="E77" s="73">
        <f t="shared" ref="E77" si="5">D77-C77</f>
        <v>-1.7000000000000028</v>
      </c>
      <c r="F77" s="69">
        <f t="shared" si="4"/>
        <v>0.95417789757412397</v>
      </c>
      <c r="I77" s="2" t="s">
        <v>175</v>
      </c>
      <c r="J77" s="2" t="s">
        <v>174</v>
      </c>
    </row>
    <row r="78" spans="1:10" x14ac:dyDescent="0.25">
      <c r="A78" s="8" t="s">
        <v>77</v>
      </c>
      <c r="B78" s="12">
        <v>400</v>
      </c>
      <c r="C78" s="66">
        <f>SUM(C79:C87)</f>
        <v>0</v>
      </c>
      <c r="D78" s="66">
        <f>SUM(D79:D87)</f>
        <v>0</v>
      </c>
      <c r="E78" s="67">
        <f t="shared" si="0"/>
        <v>0</v>
      </c>
      <c r="F78" s="68">
        <v>0</v>
      </c>
    </row>
    <row r="79" spans="1:10" x14ac:dyDescent="0.25">
      <c r="A79" s="3" t="s">
        <v>78</v>
      </c>
      <c r="B79" s="4">
        <v>401</v>
      </c>
      <c r="C79" s="74"/>
      <c r="D79" s="74"/>
      <c r="E79" s="73"/>
      <c r="F79" s="69"/>
    </row>
    <row r="80" spans="1:10" x14ac:dyDescent="0.25">
      <c r="A80" s="3" t="s">
        <v>79</v>
      </c>
      <c r="B80" s="4">
        <v>402</v>
      </c>
      <c r="C80" s="74"/>
      <c r="D80" s="74"/>
      <c r="E80" s="73"/>
      <c r="F80" s="69"/>
    </row>
    <row r="81" spans="1:9" x14ac:dyDescent="0.25">
      <c r="A81" s="3" t="s">
        <v>63</v>
      </c>
      <c r="B81" s="4">
        <v>403</v>
      </c>
      <c r="C81" s="74"/>
      <c r="D81" s="74"/>
      <c r="E81" s="73"/>
      <c r="F81" s="69"/>
    </row>
    <row r="82" spans="1:9" x14ac:dyDescent="0.25">
      <c r="A82" s="3" t="s">
        <v>64</v>
      </c>
      <c r="B82" s="4">
        <v>404</v>
      </c>
      <c r="C82" s="74"/>
      <c r="D82" s="74"/>
      <c r="E82" s="73"/>
      <c r="F82" s="69"/>
    </row>
    <row r="83" spans="1:9" ht="29.45" customHeight="1" x14ac:dyDescent="0.25">
      <c r="A83" s="3" t="s">
        <v>80</v>
      </c>
      <c r="B83" s="4">
        <v>405</v>
      </c>
      <c r="C83" s="74"/>
      <c r="D83" s="74"/>
      <c r="E83" s="73"/>
      <c r="F83" s="69"/>
    </row>
    <row r="84" spans="1:9" x14ac:dyDescent="0.25">
      <c r="A84" s="3" t="s">
        <v>81</v>
      </c>
      <c r="B84" s="4">
        <v>406</v>
      </c>
      <c r="C84" s="74"/>
      <c r="D84" s="74"/>
      <c r="E84" s="73"/>
      <c r="F84" s="69"/>
    </row>
    <row r="85" spans="1:9" x14ac:dyDescent="0.25">
      <c r="A85" s="3" t="s">
        <v>82</v>
      </c>
      <c r="B85" s="4">
        <v>407</v>
      </c>
      <c r="C85" s="74"/>
      <c r="D85" s="74"/>
      <c r="E85" s="73"/>
      <c r="F85" s="69"/>
    </row>
    <row r="86" spans="1:9" ht="15" customHeight="1" x14ac:dyDescent="0.25">
      <c r="A86" s="3" t="s">
        <v>83</v>
      </c>
      <c r="B86" s="4">
        <v>408</v>
      </c>
      <c r="C86" s="74"/>
      <c r="D86" s="74"/>
      <c r="E86" s="73"/>
      <c r="F86" s="69"/>
    </row>
    <row r="87" spans="1:9" ht="15" customHeight="1" x14ac:dyDescent="0.25">
      <c r="A87" s="3" t="s">
        <v>84</v>
      </c>
      <c r="B87" s="4">
        <v>409</v>
      </c>
      <c r="C87" s="74"/>
      <c r="D87" s="74"/>
      <c r="E87" s="73"/>
      <c r="F87" s="69"/>
    </row>
    <row r="88" spans="1:9" ht="31.5" x14ac:dyDescent="0.25">
      <c r="A88" s="3" t="s">
        <v>183</v>
      </c>
      <c r="B88" s="4">
        <v>500</v>
      </c>
      <c r="C88" s="74"/>
      <c r="D88" s="74"/>
      <c r="E88" s="73"/>
      <c r="F88" s="69"/>
    </row>
    <row r="89" spans="1:9" x14ac:dyDescent="0.25">
      <c r="A89" s="3" t="s">
        <v>185</v>
      </c>
      <c r="B89" s="4">
        <v>600</v>
      </c>
      <c r="C89" s="50">
        <v>0</v>
      </c>
      <c r="D89" s="50">
        <v>15.4</v>
      </c>
      <c r="E89" s="73">
        <f t="shared" ref="E89" si="6">D89-C89</f>
        <v>15.4</v>
      </c>
      <c r="F89" s="69"/>
      <c r="I89" s="2" t="s">
        <v>178</v>
      </c>
    </row>
    <row r="90" spans="1:9" x14ac:dyDescent="0.25">
      <c r="A90" s="8" t="s">
        <v>85</v>
      </c>
      <c r="B90" s="12">
        <v>700</v>
      </c>
      <c r="C90" s="66">
        <f>SUM(C25)</f>
        <v>7550.5</v>
      </c>
      <c r="D90" s="66">
        <f>SUM(D25,D88)</f>
        <v>6044.3</v>
      </c>
      <c r="E90" s="67">
        <f t="shared" ref="E90:E101" si="7">D90-C90</f>
        <v>-1506.1999999999998</v>
      </c>
      <c r="F90" s="68">
        <f t="shared" ref="F90:F101" si="8">D90/C90</f>
        <v>0.8005165220846302</v>
      </c>
    </row>
    <row r="91" spans="1:9" x14ac:dyDescent="0.25">
      <c r="A91" s="8" t="s">
        <v>86</v>
      </c>
      <c r="B91" s="12">
        <v>800</v>
      </c>
      <c r="C91" s="66">
        <f>SUM(C97:C100,C94)</f>
        <v>7524.1</v>
      </c>
      <c r="D91" s="66">
        <f>SUM(D97:D100,D94)</f>
        <v>6221.4999999999991</v>
      </c>
      <c r="E91" s="67">
        <f t="shared" si="7"/>
        <v>-1302.6000000000013</v>
      </c>
      <c r="F91" s="68">
        <f t="shared" si="8"/>
        <v>0.82687630414268798</v>
      </c>
    </row>
    <row r="92" spans="1:9" x14ac:dyDescent="0.25">
      <c r="A92" s="8" t="s">
        <v>87</v>
      </c>
      <c r="B92" s="12">
        <v>900</v>
      </c>
      <c r="C92" s="66">
        <f>C90-C91</f>
        <v>26.399999999999636</v>
      </c>
      <c r="D92" s="95">
        <f>D90-D91</f>
        <v>-177.19999999999891</v>
      </c>
      <c r="E92" s="67">
        <f>D92+C92</f>
        <v>-150.79999999999927</v>
      </c>
      <c r="F92" s="68">
        <f>D92/C92</f>
        <v>-6.7121212121212634</v>
      </c>
    </row>
    <row r="93" spans="1:9" x14ac:dyDescent="0.25">
      <c r="A93" s="8" t="s">
        <v>88</v>
      </c>
      <c r="B93" s="12"/>
      <c r="C93" s="75"/>
      <c r="D93" s="66"/>
      <c r="E93" s="73"/>
      <c r="F93" s="69"/>
    </row>
    <row r="94" spans="1:9" ht="31.5" x14ac:dyDescent="0.25">
      <c r="A94" s="3" t="s">
        <v>186</v>
      </c>
      <c r="B94" s="4">
        <v>1000</v>
      </c>
      <c r="C94" s="50">
        <f>C36+C32+C44+C43+C56+C96</f>
        <v>566.5</v>
      </c>
      <c r="D94" s="50">
        <f>D36+D32+D44+D43+D56+D96</f>
        <v>529.70000000000005</v>
      </c>
      <c r="E94" s="73">
        <f t="shared" si="7"/>
        <v>-36.799999999999955</v>
      </c>
      <c r="F94" s="69">
        <f t="shared" si="8"/>
        <v>0.93503971756398951</v>
      </c>
      <c r="G94" s="1"/>
    </row>
    <row r="95" spans="1:9" ht="18" customHeight="1" x14ac:dyDescent="0.25">
      <c r="A95" s="3" t="s">
        <v>89</v>
      </c>
      <c r="B95" s="4">
        <v>1001</v>
      </c>
      <c r="C95" s="50"/>
      <c r="D95" s="50"/>
      <c r="E95" s="73"/>
      <c r="F95" s="69"/>
      <c r="G95" s="1"/>
    </row>
    <row r="96" spans="1:9" ht="31.5" x14ac:dyDescent="0.25">
      <c r="A96" s="3" t="s">
        <v>187</v>
      </c>
      <c r="B96" s="4">
        <v>1002</v>
      </c>
      <c r="C96" s="50">
        <f>C33+C39+C40+C41+C42+C51</f>
        <v>362.5</v>
      </c>
      <c r="D96" s="50">
        <f>D33+D39+D40+D41+D42+D51</f>
        <v>267.70000000000005</v>
      </c>
      <c r="E96" s="73">
        <f>D96-C96</f>
        <v>-94.799999999999955</v>
      </c>
      <c r="F96" s="69">
        <f t="shared" si="8"/>
        <v>0.73848275862068979</v>
      </c>
      <c r="G96" s="14"/>
    </row>
    <row r="97" spans="1:9" x14ac:dyDescent="0.25">
      <c r="A97" s="3" t="s">
        <v>34</v>
      </c>
      <c r="B97" s="4">
        <v>1100</v>
      </c>
      <c r="C97" s="50">
        <f>C34+C63</f>
        <v>5250</v>
      </c>
      <c r="D97" s="50">
        <f>D34+D63+D81</f>
        <v>4169.8999999999996</v>
      </c>
      <c r="E97" s="73">
        <f t="shared" si="7"/>
        <v>-1080.1000000000004</v>
      </c>
      <c r="F97" s="69">
        <f t="shared" si="8"/>
        <v>0.79426666666666657</v>
      </c>
      <c r="G97" s="14"/>
    </row>
    <row r="98" spans="1:9" x14ac:dyDescent="0.25">
      <c r="A98" s="3" t="s">
        <v>35</v>
      </c>
      <c r="B98" s="4">
        <v>1200</v>
      </c>
      <c r="C98" s="50">
        <f>C35+C64</f>
        <v>1102.5</v>
      </c>
      <c r="D98" s="50">
        <f>D35+D64</f>
        <v>883.9</v>
      </c>
      <c r="E98" s="73">
        <f t="shared" si="7"/>
        <v>-218.60000000000002</v>
      </c>
      <c r="F98" s="69">
        <f t="shared" si="8"/>
        <v>0.8017233560090703</v>
      </c>
    </row>
    <row r="99" spans="1:9" x14ac:dyDescent="0.25">
      <c r="A99" s="3" t="s">
        <v>90</v>
      </c>
      <c r="B99" s="4">
        <v>1300</v>
      </c>
      <c r="C99" s="50"/>
      <c r="D99" s="50"/>
      <c r="E99" s="73"/>
      <c r="F99" s="69"/>
    </row>
    <row r="100" spans="1:9" ht="46.9" customHeight="1" x14ac:dyDescent="0.25">
      <c r="A100" s="3" t="s">
        <v>188</v>
      </c>
      <c r="B100" s="4">
        <v>1400</v>
      </c>
      <c r="C100" s="50">
        <f>SUM(C37:C38,C45:C50,C52:C54,C57:C62,C65:C75,C78,C89)</f>
        <v>605.1</v>
      </c>
      <c r="D100" s="50">
        <f>SUM(D37:D38,D45:D50,D52:D54,D57:D62,D65:D75,D78,D89)</f>
        <v>638.00000000000011</v>
      </c>
      <c r="E100" s="73">
        <f t="shared" si="7"/>
        <v>32.900000000000091</v>
      </c>
      <c r="F100" s="69">
        <f t="shared" si="8"/>
        <v>1.0543711783176335</v>
      </c>
    </row>
    <row r="101" spans="1:9" x14ac:dyDescent="0.25">
      <c r="A101" s="8" t="s">
        <v>91</v>
      </c>
      <c r="B101" s="12">
        <v>1500</v>
      </c>
      <c r="C101" s="66">
        <f>SUM(C97:C100,C94)</f>
        <v>7524.1</v>
      </c>
      <c r="D101" s="66">
        <f>SUM(D97:D100,D94)</f>
        <v>6221.4999999999991</v>
      </c>
      <c r="E101" s="67">
        <f t="shared" si="7"/>
        <v>-1302.6000000000013</v>
      </c>
      <c r="F101" s="68">
        <f t="shared" si="8"/>
        <v>0.82687630414268798</v>
      </c>
    </row>
    <row r="102" spans="1:9" x14ac:dyDescent="0.25">
      <c r="A102" s="15"/>
      <c r="B102" s="14"/>
      <c r="C102" s="53"/>
      <c r="D102" s="53"/>
      <c r="E102" s="14"/>
      <c r="F102" s="1"/>
      <c r="H102" s="1"/>
      <c r="I102" s="1"/>
    </row>
    <row r="103" spans="1:9" ht="16.149999999999999" customHeight="1" thickBot="1" x14ac:dyDescent="0.3">
      <c r="A103" s="16" t="s">
        <v>179</v>
      </c>
      <c r="B103" s="17"/>
      <c r="C103" s="54"/>
      <c r="D103" s="54"/>
      <c r="E103" s="121" t="s">
        <v>169</v>
      </c>
      <c r="F103" s="121"/>
      <c r="H103" s="14"/>
      <c r="I103" s="14"/>
    </row>
    <row r="104" spans="1:9" ht="15.6" customHeight="1" x14ac:dyDescent="0.25">
      <c r="A104" s="18" t="s">
        <v>92</v>
      </c>
      <c r="B104" s="32" t="s">
        <v>93</v>
      </c>
      <c r="C104" s="122"/>
      <c r="D104" s="122"/>
      <c r="E104" s="120" t="s">
        <v>94</v>
      </c>
      <c r="F104" s="120"/>
      <c r="H104" s="14"/>
      <c r="I104" s="14"/>
    </row>
  </sheetData>
  <mergeCells count="22">
    <mergeCell ref="A19:F19"/>
    <mergeCell ref="E104:F104"/>
    <mergeCell ref="E103:F103"/>
    <mergeCell ref="C104:D104"/>
    <mergeCell ref="A21:A22"/>
    <mergeCell ref="B21:B22"/>
    <mergeCell ref="C21:F21"/>
    <mergeCell ref="A17:F17"/>
    <mergeCell ref="A16:F16"/>
    <mergeCell ref="A15:F15"/>
    <mergeCell ref="B2:F2"/>
    <mergeCell ref="C4:F4"/>
    <mergeCell ref="B3:F3"/>
    <mergeCell ref="E6:F6"/>
    <mergeCell ref="B6:D6"/>
    <mergeCell ref="B7:D7"/>
    <mergeCell ref="B8:D8"/>
    <mergeCell ref="B9:D9"/>
    <mergeCell ref="B10:D10"/>
    <mergeCell ref="B11:D11"/>
    <mergeCell ref="B13:D13"/>
    <mergeCell ref="B12:D12"/>
  </mergeCells>
  <pageMargins left="0.31496062992125984" right="0.11811023622047245" top="0.35433070866141736" bottom="0.35433070866141736" header="0.31496062992125984" footer="0.31496062992125984"/>
  <pageSetup paperSize="9" scale="98" fitToWidth="0" orientation="portrait" r:id="rId1"/>
  <rowBreaks count="2" manualBreakCount="2">
    <brk id="35" max="5" man="1"/>
    <brk id="67" max="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32"/>
  <sheetViews>
    <sheetView topLeftCell="A16" zoomScaleNormal="100" zoomScaleSheetLayoutView="100" workbookViewId="0">
      <selection activeCell="N26" sqref="N26"/>
    </sheetView>
  </sheetViews>
  <sheetFormatPr defaultColWidth="8.85546875" defaultRowHeight="15.75" x14ac:dyDescent="0.25"/>
  <cols>
    <col min="1" max="1" width="42.28515625" style="45" customWidth="1"/>
    <col min="2" max="2" width="8.85546875" style="45"/>
    <col min="3" max="3" width="12" style="55" customWidth="1"/>
    <col min="4" max="4" width="10.28515625" style="55" customWidth="1"/>
    <col min="5" max="5" width="11.85546875" style="55" customWidth="1"/>
    <col min="6" max="6" width="11.42578125" style="55" customWidth="1"/>
    <col min="7" max="16384" width="8.85546875" style="55"/>
  </cols>
  <sheetData>
    <row r="1" spans="1:7" s="45" customFormat="1" x14ac:dyDescent="0.25">
      <c r="D1" s="84"/>
      <c r="F1" s="84" t="s">
        <v>96</v>
      </c>
    </row>
    <row r="2" spans="1:7" s="45" customFormat="1" x14ac:dyDescent="0.25">
      <c r="A2" s="128" t="s">
        <v>97</v>
      </c>
      <c r="B2" s="128"/>
      <c r="C2" s="128"/>
      <c r="D2" s="128"/>
      <c r="E2" s="128"/>
      <c r="F2" s="128"/>
    </row>
    <row r="3" spans="1:7" s="45" customFormat="1" ht="8.4499999999999993" customHeight="1" x14ac:dyDescent="0.25"/>
    <row r="4" spans="1:7" s="45" customFormat="1" ht="15" customHeight="1" x14ac:dyDescent="0.25">
      <c r="A4" s="130" t="s">
        <v>16</v>
      </c>
      <c r="B4" s="130" t="s">
        <v>95</v>
      </c>
      <c r="C4" s="130" t="s">
        <v>19</v>
      </c>
      <c r="D4" s="130"/>
      <c r="E4" s="130"/>
      <c r="F4" s="130"/>
      <c r="G4" s="46"/>
    </row>
    <row r="5" spans="1:7" s="45" customFormat="1" ht="37.15" customHeight="1" x14ac:dyDescent="0.25">
      <c r="A5" s="130"/>
      <c r="B5" s="130"/>
      <c r="C5" s="76" t="s">
        <v>20</v>
      </c>
      <c r="D5" s="76" t="s">
        <v>21</v>
      </c>
      <c r="E5" s="76" t="s">
        <v>22</v>
      </c>
      <c r="F5" s="76" t="s">
        <v>23</v>
      </c>
      <c r="G5" s="47"/>
    </row>
    <row r="6" spans="1:7" s="45" customFormat="1" x14ac:dyDescent="0.25">
      <c r="A6" s="76">
        <v>1</v>
      </c>
      <c r="B6" s="76">
        <v>2</v>
      </c>
      <c r="C6" s="76">
        <v>3</v>
      </c>
      <c r="D6" s="76">
        <v>4</v>
      </c>
      <c r="E6" s="76">
        <v>5</v>
      </c>
      <c r="F6" s="76">
        <v>6</v>
      </c>
      <c r="G6" s="47"/>
    </row>
    <row r="7" spans="1:7" ht="17.45" customHeight="1" x14ac:dyDescent="0.25">
      <c r="A7" s="48" t="s">
        <v>98</v>
      </c>
      <c r="B7" s="48"/>
      <c r="C7" s="78"/>
      <c r="D7" s="78"/>
      <c r="E7" s="78"/>
      <c r="F7" s="78"/>
      <c r="G7" s="56"/>
    </row>
    <row r="8" spans="1:7" ht="47.45" customHeight="1" x14ac:dyDescent="0.25">
      <c r="A8" s="49" t="s">
        <v>99</v>
      </c>
      <c r="B8" s="49">
        <v>2000</v>
      </c>
      <c r="C8" s="88">
        <v>34</v>
      </c>
      <c r="D8" s="88">
        <v>396.1</v>
      </c>
      <c r="E8" s="70">
        <f>D8-C8</f>
        <v>362.1</v>
      </c>
      <c r="F8" s="89"/>
      <c r="G8" s="56"/>
    </row>
    <row r="9" spans="1:7" ht="34.15" customHeight="1" x14ac:dyDescent="0.25">
      <c r="A9" s="49" t="s">
        <v>100</v>
      </c>
      <c r="B9" s="49">
        <v>2001</v>
      </c>
      <c r="C9" s="88"/>
      <c r="D9" s="88"/>
      <c r="E9" s="70"/>
      <c r="F9" s="91"/>
      <c r="G9" s="56"/>
    </row>
    <row r="10" spans="1:7" ht="18.600000000000001" customHeight="1" x14ac:dyDescent="0.25">
      <c r="A10" s="49" t="s">
        <v>101</v>
      </c>
      <c r="B10" s="49">
        <v>2002</v>
      </c>
      <c r="C10" s="88"/>
      <c r="D10" s="88"/>
      <c r="E10" s="70"/>
      <c r="F10" s="91"/>
      <c r="G10" s="56"/>
    </row>
    <row r="11" spans="1:7" ht="32.450000000000003" customHeight="1" x14ac:dyDescent="0.25">
      <c r="A11" s="49" t="s">
        <v>102</v>
      </c>
      <c r="B11" s="49">
        <v>2003</v>
      </c>
      <c r="C11" s="88"/>
      <c r="D11" s="88"/>
      <c r="E11" s="70"/>
      <c r="F11" s="91"/>
      <c r="G11" s="56"/>
    </row>
    <row r="12" spans="1:7" ht="20.45" customHeight="1" x14ac:dyDescent="0.25">
      <c r="A12" s="49" t="s">
        <v>103</v>
      </c>
      <c r="B12" s="49">
        <v>2004</v>
      </c>
      <c r="C12" s="88"/>
      <c r="D12" s="88"/>
      <c r="E12" s="70"/>
      <c r="F12" s="91"/>
      <c r="G12" s="56"/>
    </row>
    <row r="13" spans="1:7" ht="25.9" customHeight="1" x14ac:dyDescent="0.25">
      <c r="A13" s="49" t="s">
        <v>191</v>
      </c>
      <c r="B13" s="49">
        <v>2005</v>
      </c>
      <c r="C13" s="88"/>
      <c r="D13" s="88">
        <f>D8-D14</f>
        <v>177.19999999999891</v>
      </c>
      <c r="E13" s="70"/>
      <c r="F13" s="92"/>
      <c r="G13" s="56"/>
    </row>
    <row r="14" spans="1:7" ht="34.15" customHeight="1" x14ac:dyDescent="0.25">
      <c r="A14" s="49" t="s">
        <v>192</v>
      </c>
      <c r="B14" s="49">
        <v>2006</v>
      </c>
      <c r="C14" s="88">
        <f>'Таблиця 1'!C92+C8</f>
        <v>60.399999999999636</v>
      </c>
      <c r="D14" s="88">
        <f>'Таблиця 1'!D92+D8</f>
        <v>218.90000000000111</v>
      </c>
      <c r="E14" s="70">
        <f t="shared" ref="E14" si="0">D14-C14</f>
        <v>158.50000000000148</v>
      </c>
      <c r="F14" s="89">
        <f>C14/D14*100</f>
        <v>27.592507994517739</v>
      </c>
      <c r="G14" s="56"/>
    </row>
    <row r="15" spans="1:7" s="45" customFormat="1" ht="47.45" customHeight="1" x14ac:dyDescent="0.25">
      <c r="A15" s="48" t="s">
        <v>104</v>
      </c>
      <c r="B15" s="48">
        <v>2100</v>
      </c>
      <c r="C15" s="85">
        <f>SUM(C16:C20)</f>
        <v>945</v>
      </c>
      <c r="D15" s="85">
        <f>SUM(D16:D20)</f>
        <v>754.7</v>
      </c>
      <c r="E15" s="86">
        <f t="shared" ref="E15:E25" si="1">D15-C15</f>
        <v>-190.29999999999995</v>
      </c>
      <c r="F15" s="87">
        <f>D15/C15</f>
        <v>0.79862433862433868</v>
      </c>
      <c r="G15" s="46"/>
    </row>
    <row r="16" spans="1:7" s="45" customFormat="1" ht="18.600000000000001" customHeight="1" x14ac:dyDescent="0.25">
      <c r="A16" s="49" t="s">
        <v>105</v>
      </c>
      <c r="B16" s="49">
        <v>2101</v>
      </c>
      <c r="C16" s="88">
        <f>'Таблиця 1'!C97*18%</f>
        <v>945</v>
      </c>
      <c r="D16" s="88">
        <v>754.7</v>
      </c>
      <c r="E16" s="70">
        <f t="shared" si="1"/>
        <v>-190.29999999999995</v>
      </c>
      <c r="F16" s="89">
        <f>D16/C16</f>
        <v>0.79862433862433868</v>
      </c>
      <c r="G16" s="46"/>
    </row>
    <row r="17" spans="1:7" ht="17.45" customHeight="1" x14ac:dyDescent="0.25">
      <c r="A17" s="49" t="s">
        <v>106</v>
      </c>
      <c r="B17" s="49">
        <v>2102</v>
      </c>
      <c r="C17" s="71"/>
      <c r="D17" s="71"/>
      <c r="E17" s="72"/>
      <c r="F17" s="57"/>
      <c r="G17" s="56"/>
    </row>
    <row r="18" spans="1:7" ht="15" customHeight="1" x14ac:dyDescent="0.25">
      <c r="A18" s="49" t="s">
        <v>107</v>
      </c>
      <c r="B18" s="49">
        <v>2103</v>
      </c>
      <c r="C18" s="71"/>
      <c r="D18" s="71"/>
      <c r="E18" s="72"/>
      <c r="F18" s="57"/>
      <c r="G18" s="56"/>
    </row>
    <row r="19" spans="1:7" ht="15" customHeight="1" x14ac:dyDescent="0.25">
      <c r="A19" s="49" t="s">
        <v>108</v>
      </c>
      <c r="B19" s="49">
        <v>2104</v>
      </c>
      <c r="C19" s="71"/>
      <c r="D19" s="71"/>
      <c r="E19" s="72"/>
      <c r="F19" s="57"/>
      <c r="G19" s="56"/>
    </row>
    <row r="20" spans="1:7" ht="20.45" customHeight="1" x14ac:dyDescent="0.25">
      <c r="A20" s="49" t="s">
        <v>109</v>
      </c>
      <c r="B20" s="49">
        <v>2105</v>
      </c>
      <c r="C20" s="71"/>
      <c r="D20" s="71"/>
      <c r="E20" s="72"/>
      <c r="F20" s="57"/>
      <c r="G20" s="56"/>
    </row>
    <row r="21" spans="1:7" s="45" customFormat="1" ht="35.450000000000003" customHeight="1" x14ac:dyDescent="0.25">
      <c r="A21" s="48" t="s">
        <v>110</v>
      </c>
      <c r="B21" s="48">
        <v>2200</v>
      </c>
      <c r="C21" s="85">
        <f>SUM(C22:C25)</f>
        <v>1181.25</v>
      </c>
      <c r="D21" s="85">
        <f>SUM(D22:D25)</f>
        <v>947.8</v>
      </c>
      <c r="E21" s="86">
        <f t="shared" si="1"/>
        <v>-233.45000000000005</v>
      </c>
      <c r="F21" s="87">
        <f>D21/C21</f>
        <v>0.80237037037037029</v>
      </c>
      <c r="G21" s="46"/>
    </row>
    <row r="22" spans="1:7" s="45" customFormat="1" ht="20.45" customHeight="1" x14ac:dyDescent="0.25">
      <c r="A22" s="49" t="s">
        <v>111</v>
      </c>
      <c r="B22" s="49">
        <v>2201</v>
      </c>
      <c r="C22" s="88"/>
      <c r="D22" s="71"/>
      <c r="E22" s="70"/>
      <c r="F22" s="89"/>
      <c r="G22" s="46"/>
    </row>
    <row r="23" spans="1:7" s="45" customFormat="1" ht="34.9" customHeight="1" x14ac:dyDescent="0.25">
      <c r="A23" s="49" t="s">
        <v>112</v>
      </c>
      <c r="B23" s="49">
        <v>2202</v>
      </c>
      <c r="C23" s="88">
        <f>'Таблиця 1'!C98</f>
        <v>1102.5</v>
      </c>
      <c r="D23" s="88">
        <f>'Таблиця 1'!D98</f>
        <v>883.9</v>
      </c>
      <c r="E23" s="70">
        <f t="shared" si="1"/>
        <v>-218.60000000000002</v>
      </c>
      <c r="F23" s="89">
        <f>D23/C23</f>
        <v>0.8017233560090703</v>
      </c>
      <c r="G23" s="46"/>
    </row>
    <row r="24" spans="1:7" s="45" customFormat="1" ht="33.6" customHeight="1" x14ac:dyDescent="0.25">
      <c r="A24" s="49" t="s">
        <v>113</v>
      </c>
      <c r="B24" s="49">
        <v>2203</v>
      </c>
      <c r="C24" s="88"/>
      <c r="D24" s="71"/>
      <c r="E24" s="70"/>
      <c r="F24" s="89"/>
      <c r="G24" s="46"/>
    </row>
    <row r="25" spans="1:7" s="45" customFormat="1" ht="24" customHeight="1" x14ac:dyDescent="0.25">
      <c r="A25" s="49" t="s">
        <v>114</v>
      </c>
      <c r="B25" s="49">
        <v>2204</v>
      </c>
      <c r="C25" s="88">
        <f>'Таблиця 1'!C97*1.5%</f>
        <v>78.75</v>
      </c>
      <c r="D25" s="88">
        <v>63.9</v>
      </c>
      <c r="E25" s="70">
        <f t="shared" si="1"/>
        <v>-14.850000000000001</v>
      </c>
      <c r="F25" s="89">
        <f>D25/C25</f>
        <v>0.81142857142857139</v>
      </c>
      <c r="G25" s="46"/>
    </row>
    <row r="26" spans="1:7" s="45" customFormat="1" ht="31.9" customHeight="1" x14ac:dyDescent="0.25">
      <c r="A26" s="48" t="s">
        <v>115</v>
      </c>
      <c r="B26" s="48">
        <v>2300</v>
      </c>
      <c r="C26" s="88"/>
      <c r="D26" s="71"/>
      <c r="E26" s="70"/>
      <c r="F26" s="89"/>
      <c r="G26" s="46"/>
    </row>
    <row r="27" spans="1:7" s="45" customFormat="1" ht="65.45" customHeight="1" x14ac:dyDescent="0.25">
      <c r="A27" s="49" t="s">
        <v>116</v>
      </c>
      <c r="B27" s="49">
        <v>2301</v>
      </c>
      <c r="C27" s="88"/>
      <c r="D27" s="71"/>
      <c r="E27" s="70"/>
      <c r="F27" s="89"/>
      <c r="G27" s="46"/>
    </row>
    <row r="28" spans="1:7" s="45" customFormat="1" ht="32.450000000000003" customHeight="1" x14ac:dyDescent="0.25">
      <c r="A28" s="49" t="s">
        <v>117</v>
      </c>
      <c r="B28" s="49">
        <v>2302</v>
      </c>
      <c r="C28" s="88"/>
      <c r="D28" s="71"/>
      <c r="E28" s="70"/>
      <c r="F28" s="89"/>
      <c r="G28" s="46"/>
    </row>
    <row r="29" spans="1:7" s="45" customFormat="1" ht="12.6" customHeight="1" x14ac:dyDescent="0.25">
      <c r="A29" s="47"/>
      <c r="B29" s="47"/>
      <c r="C29" s="47"/>
      <c r="D29" s="47"/>
      <c r="E29" s="90"/>
      <c r="F29" s="90"/>
      <c r="G29" s="46"/>
    </row>
    <row r="30" spans="1:7" s="45" customFormat="1" ht="16.5" thickBot="1" x14ac:dyDescent="0.3">
      <c r="A30" s="16" t="s">
        <v>179</v>
      </c>
      <c r="B30" s="42"/>
      <c r="C30" s="42"/>
      <c r="D30" s="42"/>
      <c r="E30" s="131" t="s">
        <v>169</v>
      </c>
      <c r="F30" s="131"/>
    </row>
    <row r="31" spans="1:7" s="45" customFormat="1" ht="14.45" customHeight="1" x14ac:dyDescent="0.25">
      <c r="A31" s="43" t="s">
        <v>92</v>
      </c>
      <c r="B31" s="51" t="s">
        <v>93</v>
      </c>
      <c r="C31" s="51"/>
      <c r="D31" s="51"/>
      <c r="E31" s="129" t="s">
        <v>94</v>
      </c>
      <c r="F31" s="129"/>
    </row>
    <row r="32" spans="1:7" s="45" customFormat="1" x14ac:dyDescent="0.25"/>
  </sheetData>
  <mergeCells count="6">
    <mergeCell ref="A2:F2"/>
    <mergeCell ref="E31:F31"/>
    <mergeCell ref="C4:F4"/>
    <mergeCell ref="B4:B5"/>
    <mergeCell ref="A4:A5"/>
    <mergeCell ref="E30:F30"/>
  </mergeCells>
  <pageMargins left="0.31496062992125984" right="0.31496062992125984" top="0.35433070866141736" bottom="0.15748031496062992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51"/>
  <sheetViews>
    <sheetView view="pageBreakPreview" topLeftCell="A37" zoomScaleNormal="100" zoomScaleSheetLayoutView="100" workbookViewId="0">
      <selection activeCell="D45" sqref="D45"/>
    </sheetView>
  </sheetViews>
  <sheetFormatPr defaultColWidth="8.85546875" defaultRowHeight="15.75" x14ac:dyDescent="0.25"/>
  <cols>
    <col min="1" max="1" width="38.7109375" style="55" customWidth="1"/>
    <col min="2" max="2" width="8.85546875" style="55"/>
    <col min="3" max="3" width="11.7109375" style="55" customWidth="1"/>
    <col min="4" max="4" width="10.85546875" style="55" customWidth="1"/>
    <col min="5" max="5" width="13.7109375" style="55" customWidth="1"/>
    <col min="6" max="6" width="12" style="55" customWidth="1"/>
    <col min="7" max="16384" width="8.85546875" style="55"/>
  </cols>
  <sheetData>
    <row r="1" spans="1:6" s="45" customFormat="1" x14ac:dyDescent="0.25">
      <c r="A1" s="84"/>
      <c r="F1" s="84" t="s">
        <v>118</v>
      </c>
    </row>
    <row r="2" spans="1:6" s="45" customFormat="1" x14ac:dyDescent="0.25">
      <c r="A2" s="128" t="s">
        <v>119</v>
      </c>
      <c r="B2" s="128"/>
      <c r="C2" s="128"/>
      <c r="D2" s="128"/>
      <c r="E2" s="128"/>
      <c r="F2" s="128"/>
    </row>
    <row r="3" spans="1:6" s="45" customFormat="1" x14ac:dyDescent="0.25"/>
    <row r="4" spans="1:6" s="45" customFormat="1" x14ac:dyDescent="0.25">
      <c r="A4" s="135" t="s">
        <v>16</v>
      </c>
      <c r="B4" s="94" t="s">
        <v>17</v>
      </c>
      <c r="C4" s="135" t="s">
        <v>19</v>
      </c>
      <c r="D4" s="135"/>
      <c r="E4" s="135"/>
      <c r="F4" s="135"/>
    </row>
    <row r="5" spans="1:6" s="45" customFormat="1" x14ac:dyDescent="0.25">
      <c r="A5" s="135"/>
      <c r="B5" s="94" t="s">
        <v>18</v>
      </c>
      <c r="C5" s="135" t="s">
        <v>20</v>
      </c>
      <c r="D5" s="135" t="s">
        <v>21</v>
      </c>
      <c r="E5" s="135" t="s">
        <v>22</v>
      </c>
      <c r="F5" s="135" t="s">
        <v>23</v>
      </c>
    </row>
    <row r="6" spans="1:6" s="45" customFormat="1" x14ac:dyDescent="0.25">
      <c r="A6" s="135"/>
      <c r="B6" s="103"/>
      <c r="C6" s="135"/>
      <c r="D6" s="135"/>
      <c r="E6" s="135"/>
      <c r="F6" s="135"/>
    </row>
    <row r="7" spans="1:6" s="45" customFormat="1" x14ac:dyDescent="0.25">
      <c r="A7" s="25">
        <v>1</v>
      </c>
      <c r="B7" s="25">
        <v>2</v>
      </c>
      <c r="C7" s="25">
        <v>3</v>
      </c>
      <c r="D7" s="25">
        <v>4</v>
      </c>
      <c r="E7" s="25">
        <v>5</v>
      </c>
      <c r="F7" s="25">
        <v>6</v>
      </c>
    </row>
    <row r="8" spans="1:6" s="45" customFormat="1" x14ac:dyDescent="0.25">
      <c r="A8" s="134" t="s">
        <v>120</v>
      </c>
      <c r="B8" s="134"/>
      <c r="C8" s="134"/>
      <c r="D8" s="134"/>
      <c r="E8" s="134"/>
      <c r="F8" s="134"/>
    </row>
    <row r="9" spans="1:6" s="45" customFormat="1" ht="34.15" customHeight="1" x14ac:dyDescent="0.25">
      <c r="A9" s="26" t="s">
        <v>121</v>
      </c>
      <c r="B9" s="25">
        <v>3000</v>
      </c>
      <c r="C9" s="81">
        <f>SUM(C10:C14)</f>
        <v>7550.5</v>
      </c>
      <c r="D9" s="81">
        <f t="shared" ref="D9" si="0">SUM(D10:D14)</f>
        <v>6044.3</v>
      </c>
      <c r="E9" s="81">
        <f t="shared" ref="E9" si="1">D9-C9</f>
        <v>-1506.1999999999998</v>
      </c>
      <c r="F9" s="97">
        <f>D9/C9</f>
        <v>0.8005165220846302</v>
      </c>
    </row>
    <row r="10" spans="1:6" s="45" customFormat="1" ht="42" customHeight="1" x14ac:dyDescent="0.25">
      <c r="A10" s="21" t="s">
        <v>122</v>
      </c>
      <c r="B10" s="94">
        <v>3001</v>
      </c>
      <c r="C10" s="96">
        <v>49.5</v>
      </c>
      <c r="D10" s="96">
        <v>46.4</v>
      </c>
      <c r="E10" s="96">
        <f t="shared" ref="E10" si="2">D10-C10</f>
        <v>-3.1000000000000014</v>
      </c>
      <c r="F10" s="98">
        <f>D10/C10</f>
        <v>0.9373737373737373</v>
      </c>
    </row>
    <row r="11" spans="1:6" s="45" customFormat="1" ht="23.45" customHeight="1" x14ac:dyDescent="0.25">
      <c r="A11" s="99" t="s">
        <v>26</v>
      </c>
      <c r="B11" s="94">
        <v>3002</v>
      </c>
      <c r="C11" s="96">
        <f>'Таблиця 1'!C26</f>
        <v>1209.5999999999999</v>
      </c>
      <c r="D11" s="96">
        <f>'Таблиця 1'!D26</f>
        <v>1167.8</v>
      </c>
      <c r="E11" s="96">
        <f>D11-C11</f>
        <v>-41.799999999999955</v>
      </c>
      <c r="F11" s="98">
        <f t="shared" ref="F11" si="3">D11/C11</f>
        <v>0.96544312169312174</v>
      </c>
    </row>
    <row r="12" spans="1:6" s="45" customFormat="1" ht="26.45" customHeight="1" x14ac:dyDescent="0.25">
      <c r="A12" s="99" t="s">
        <v>27</v>
      </c>
      <c r="B12" s="94">
        <v>3003</v>
      </c>
      <c r="C12" s="96"/>
      <c r="D12" s="96"/>
      <c r="E12" s="96"/>
      <c r="F12" s="98"/>
    </row>
    <row r="13" spans="1:6" s="45" customFormat="1" x14ac:dyDescent="0.25">
      <c r="A13" s="99" t="s">
        <v>28</v>
      </c>
      <c r="B13" s="94">
        <v>3004</v>
      </c>
      <c r="C13" s="96">
        <f>'Таблиця 1'!C28</f>
        <v>6276.4</v>
      </c>
      <c r="D13" s="96">
        <f>'Таблиця 1'!D28</f>
        <v>4797.6000000000004</v>
      </c>
      <c r="E13" s="96">
        <f t="shared" ref="E13:E14" si="4">D13-C13</f>
        <v>-1478.7999999999993</v>
      </c>
      <c r="F13" s="98">
        <f>D13/C13</f>
        <v>0.76438722834746042</v>
      </c>
    </row>
    <row r="14" spans="1:6" s="45" customFormat="1" x14ac:dyDescent="0.25">
      <c r="A14" s="99" t="s">
        <v>29</v>
      </c>
      <c r="B14" s="94">
        <v>3005</v>
      </c>
      <c r="C14" s="96">
        <f>'Таблиця 1'!C29-C21-C10</f>
        <v>15</v>
      </c>
      <c r="D14" s="96">
        <f>'Таблиця 1'!D29-D21-D10</f>
        <v>32.500000000000007</v>
      </c>
      <c r="E14" s="96">
        <f t="shared" si="4"/>
        <v>17.500000000000007</v>
      </c>
      <c r="F14" s="98">
        <f>D14/C14</f>
        <v>2.166666666666667</v>
      </c>
    </row>
    <row r="15" spans="1:6" ht="28.15" customHeight="1" x14ac:dyDescent="0.25">
      <c r="A15" s="21" t="s">
        <v>123</v>
      </c>
      <c r="B15" s="94">
        <v>3100</v>
      </c>
      <c r="C15" s="100"/>
      <c r="D15" s="100"/>
      <c r="E15" s="100"/>
      <c r="F15" s="101"/>
    </row>
    <row r="16" spans="1:6" ht="20.45" customHeight="1" x14ac:dyDescent="0.25">
      <c r="A16" s="21" t="s">
        <v>124</v>
      </c>
      <c r="B16" s="94">
        <v>3101</v>
      </c>
      <c r="C16" s="100"/>
      <c r="D16" s="100"/>
      <c r="E16" s="100"/>
      <c r="F16" s="101"/>
    </row>
    <row r="17" spans="1:6" ht="18.600000000000001" customHeight="1" x14ac:dyDescent="0.25">
      <c r="A17" s="21" t="s">
        <v>125</v>
      </c>
      <c r="B17" s="94">
        <v>3200</v>
      </c>
      <c r="C17" s="100"/>
      <c r="D17" s="100"/>
      <c r="E17" s="100"/>
      <c r="F17" s="101"/>
    </row>
    <row r="18" spans="1:6" ht="31.9" customHeight="1" x14ac:dyDescent="0.25">
      <c r="A18" s="21" t="s">
        <v>126</v>
      </c>
      <c r="B18" s="94">
        <v>3300</v>
      </c>
      <c r="C18" s="100"/>
      <c r="D18" s="100"/>
      <c r="E18" s="100"/>
      <c r="F18" s="101"/>
    </row>
    <row r="19" spans="1:6" ht="29.45" customHeight="1" x14ac:dyDescent="0.25">
      <c r="A19" s="21" t="s">
        <v>127</v>
      </c>
      <c r="B19" s="94">
        <v>3400</v>
      </c>
      <c r="C19" s="100"/>
      <c r="D19" s="100"/>
      <c r="E19" s="100"/>
      <c r="F19" s="101"/>
    </row>
    <row r="20" spans="1:6" ht="24" customHeight="1" x14ac:dyDescent="0.25">
      <c r="A20" s="21" t="s">
        <v>128</v>
      </c>
      <c r="B20" s="94">
        <v>3500</v>
      </c>
      <c r="C20" s="100"/>
      <c r="D20" s="100"/>
      <c r="E20" s="100"/>
      <c r="F20" s="101"/>
    </row>
    <row r="21" spans="1:6" ht="30.6" customHeight="1" x14ac:dyDescent="0.25">
      <c r="A21" s="21" t="s">
        <v>129</v>
      </c>
      <c r="B21" s="94">
        <v>3600</v>
      </c>
      <c r="C21" s="100"/>
      <c r="D21" s="100"/>
      <c r="E21" s="100"/>
      <c r="F21" s="101"/>
    </row>
    <row r="22" spans="1:6" s="45" customFormat="1" ht="30.6" customHeight="1" x14ac:dyDescent="0.25">
      <c r="A22" s="26" t="s">
        <v>130</v>
      </c>
      <c r="B22" s="25">
        <v>3700</v>
      </c>
      <c r="C22" s="81">
        <f>'Таблиця 1'!C91</f>
        <v>7524.1</v>
      </c>
      <c r="D22" s="81">
        <f>'Таблиця 1'!D101</f>
        <v>6221.4999999999991</v>
      </c>
      <c r="E22" s="81">
        <f t="shared" ref="E22:E23" si="5">D22-C22</f>
        <v>-1302.6000000000013</v>
      </c>
      <c r="F22" s="97">
        <f t="shared" ref="F22:F23" si="6">D22/C22</f>
        <v>0.82687630414268798</v>
      </c>
    </row>
    <row r="23" spans="1:6" s="45" customFormat="1" ht="36" customHeight="1" x14ac:dyDescent="0.25">
      <c r="A23" s="21" t="s">
        <v>131</v>
      </c>
      <c r="B23" s="94">
        <v>3701</v>
      </c>
      <c r="C23" s="96"/>
      <c r="D23" s="96">
        <f>D22-'Таблиця 1'!D97-'Таблиця 1'!D98</f>
        <v>1167.6999999999994</v>
      </c>
      <c r="E23" s="96">
        <f t="shared" si="5"/>
        <v>1167.6999999999994</v>
      </c>
      <c r="F23" s="98" t="e">
        <f t="shared" si="6"/>
        <v>#DIV/0!</v>
      </c>
    </row>
    <row r="24" spans="1:6" s="45" customFormat="1" ht="24" customHeight="1" x14ac:dyDescent="0.25">
      <c r="A24" s="21" t="s">
        <v>132</v>
      </c>
      <c r="B24" s="94">
        <v>3702</v>
      </c>
      <c r="C24" s="96">
        <f>'Таблиця 1'!C97</f>
        <v>5250</v>
      </c>
      <c r="D24" s="96">
        <f>'Таблиця 1'!D97</f>
        <v>4169.8999999999996</v>
      </c>
      <c r="E24" s="96">
        <f>D24-C24</f>
        <v>-1080.1000000000004</v>
      </c>
      <c r="F24" s="98">
        <f>D24/C24</f>
        <v>0.79426666666666657</v>
      </c>
    </row>
    <row r="25" spans="1:6" s="45" customFormat="1" ht="38.450000000000003" customHeight="1" x14ac:dyDescent="0.25">
      <c r="A25" s="21" t="s">
        <v>133</v>
      </c>
      <c r="B25" s="94">
        <v>3703</v>
      </c>
      <c r="C25" s="96"/>
      <c r="D25" s="100"/>
      <c r="E25" s="96"/>
      <c r="F25" s="98"/>
    </row>
    <row r="26" spans="1:6" s="45" customFormat="1" ht="48" customHeight="1" x14ac:dyDescent="0.25">
      <c r="A26" s="21" t="s">
        <v>134</v>
      </c>
      <c r="B26" s="94">
        <v>3800</v>
      </c>
      <c r="C26" s="96">
        <f>'Таблиця 2'!C21+'Таблиця 2'!C15</f>
        <v>2126.25</v>
      </c>
      <c r="D26" s="96">
        <f>'Таблиця 2'!D21+'Таблиця 2'!D15</f>
        <v>1702.5</v>
      </c>
      <c r="E26" s="96">
        <f t="shared" ref="E26" si="7">D26-C26</f>
        <v>-423.75</v>
      </c>
      <c r="F26" s="98">
        <f t="shared" ref="F26" si="8">D26/C26</f>
        <v>0.80070546737213399</v>
      </c>
    </row>
    <row r="27" spans="1:6" s="45" customFormat="1" ht="24" customHeight="1" x14ac:dyDescent="0.25">
      <c r="A27" s="21" t="s">
        <v>184</v>
      </c>
      <c r="B27" s="94">
        <v>3801</v>
      </c>
      <c r="C27" s="96">
        <f>'Таблиця 2'!C16</f>
        <v>945</v>
      </c>
      <c r="D27" s="96">
        <f>'Таблиця 2'!D16</f>
        <v>754.7</v>
      </c>
      <c r="E27" s="96">
        <f t="shared" ref="E27" si="9">D27-C27</f>
        <v>-190.29999999999995</v>
      </c>
      <c r="F27" s="98">
        <f t="shared" ref="F27" si="10">D27/C27</f>
        <v>0.79862433862433868</v>
      </c>
    </row>
    <row r="28" spans="1:6" ht="23.45" customHeight="1" x14ac:dyDescent="0.25">
      <c r="A28" s="21" t="s">
        <v>135</v>
      </c>
      <c r="B28" s="94">
        <v>3900</v>
      </c>
      <c r="C28" s="100"/>
      <c r="D28" s="100"/>
      <c r="E28" s="100"/>
      <c r="F28" s="101"/>
    </row>
    <row r="29" spans="1:6" ht="21" customHeight="1" x14ac:dyDescent="0.25">
      <c r="A29" s="21" t="s">
        <v>136</v>
      </c>
      <c r="B29" s="94">
        <v>4000</v>
      </c>
      <c r="C29" s="100"/>
      <c r="D29" s="100"/>
      <c r="E29" s="100"/>
      <c r="F29" s="101"/>
    </row>
    <row r="30" spans="1:6" ht="22.9" customHeight="1" x14ac:dyDescent="0.25">
      <c r="A30" s="21" t="s">
        <v>38</v>
      </c>
      <c r="B30" s="94">
        <v>5000</v>
      </c>
      <c r="C30" s="100"/>
      <c r="D30" s="100"/>
      <c r="E30" s="100"/>
      <c r="F30" s="101"/>
    </row>
    <row r="31" spans="1:6" s="45" customFormat="1" ht="33" customHeight="1" x14ac:dyDescent="0.25">
      <c r="A31" s="26" t="s">
        <v>137</v>
      </c>
      <c r="B31" s="94">
        <v>6000</v>
      </c>
      <c r="C31" s="93">
        <f>'Таблиця 1'!C92</f>
        <v>26.399999999999636</v>
      </c>
      <c r="D31" s="93">
        <f>'Таблиця 1'!D92</f>
        <v>-177.19999999999891</v>
      </c>
      <c r="E31" s="96"/>
      <c r="F31" s="98"/>
    </row>
    <row r="32" spans="1:6" x14ac:dyDescent="0.25">
      <c r="A32" s="134" t="s">
        <v>138</v>
      </c>
      <c r="B32" s="134"/>
      <c r="C32" s="134"/>
      <c r="D32" s="134"/>
      <c r="E32" s="134"/>
      <c r="F32" s="134"/>
    </row>
    <row r="33" spans="1:6" ht="38.450000000000003" customHeight="1" x14ac:dyDescent="0.25">
      <c r="A33" s="26" t="s">
        <v>139</v>
      </c>
      <c r="B33" s="94">
        <v>7000</v>
      </c>
      <c r="C33" s="102"/>
      <c r="D33" s="102"/>
      <c r="E33" s="102"/>
      <c r="F33" s="102"/>
    </row>
    <row r="34" spans="1:6" ht="32.450000000000003" customHeight="1" x14ac:dyDescent="0.25">
      <c r="A34" s="21" t="s">
        <v>140</v>
      </c>
      <c r="B34" s="94">
        <v>7001</v>
      </c>
      <c r="C34" s="102"/>
      <c r="D34" s="102"/>
      <c r="E34" s="102"/>
      <c r="F34" s="102"/>
    </row>
    <row r="35" spans="1:6" ht="25.9" customHeight="1" x14ac:dyDescent="0.25">
      <c r="A35" s="21" t="s">
        <v>128</v>
      </c>
      <c r="B35" s="94">
        <v>7002</v>
      </c>
      <c r="C35" s="102"/>
      <c r="D35" s="102"/>
      <c r="E35" s="102"/>
      <c r="F35" s="102"/>
    </row>
    <row r="36" spans="1:6" ht="39" customHeight="1" x14ac:dyDescent="0.25">
      <c r="A36" s="21" t="s">
        <v>141</v>
      </c>
      <c r="B36" s="94">
        <v>8000</v>
      </c>
      <c r="C36" s="102"/>
      <c r="D36" s="102"/>
      <c r="E36" s="102"/>
      <c r="F36" s="102"/>
    </row>
    <row r="37" spans="1:6" ht="40.9" customHeight="1" x14ac:dyDescent="0.25">
      <c r="A37" s="21" t="s">
        <v>142</v>
      </c>
      <c r="B37" s="94">
        <v>8001</v>
      </c>
      <c r="C37" s="102"/>
      <c r="D37" s="102"/>
      <c r="E37" s="102"/>
      <c r="F37" s="102"/>
    </row>
    <row r="38" spans="1:6" ht="36.6" customHeight="1" x14ac:dyDescent="0.25">
      <c r="A38" s="21" t="s">
        <v>143</v>
      </c>
      <c r="B38" s="94">
        <v>8002</v>
      </c>
      <c r="C38" s="102"/>
      <c r="D38" s="102"/>
      <c r="E38" s="102"/>
      <c r="F38" s="102"/>
    </row>
    <row r="39" spans="1:6" ht="27" customHeight="1" x14ac:dyDescent="0.25">
      <c r="A39" s="21" t="s">
        <v>38</v>
      </c>
      <c r="B39" s="94">
        <v>8003</v>
      </c>
      <c r="C39" s="102"/>
      <c r="D39" s="102"/>
      <c r="E39" s="102"/>
      <c r="F39" s="102"/>
    </row>
    <row r="40" spans="1:6" ht="51" customHeight="1" x14ac:dyDescent="0.25">
      <c r="A40" s="21" t="s">
        <v>144</v>
      </c>
      <c r="B40" s="94">
        <v>9000</v>
      </c>
      <c r="C40" s="102"/>
      <c r="D40" s="102"/>
      <c r="E40" s="102"/>
      <c r="F40" s="102"/>
    </row>
    <row r="41" spans="1:6" x14ac:dyDescent="0.25">
      <c r="A41" s="21" t="s">
        <v>145</v>
      </c>
      <c r="B41" s="94">
        <v>9001</v>
      </c>
      <c r="C41" s="102"/>
      <c r="D41" s="102"/>
      <c r="E41" s="102"/>
      <c r="F41" s="102"/>
    </row>
    <row r="42" spans="1:6" ht="33" customHeight="1" x14ac:dyDescent="0.25">
      <c r="A42" s="26" t="s">
        <v>146</v>
      </c>
      <c r="B42" s="94">
        <v>10000</v>
      </c>
      <c r="C42" s="102"/>
      <c r="D42" s="102"/>
      <c r="E42" s="102"/>
      <c r="F42" s="102"/>
    </row>
    <row r="43" spans="1:6" ht="32.450000000000003" customHeight="1" x14ac:dyDescent="0.25">
      <c r="A43" s="26" t="s">
        <v>147</v>
      </c>
      <c r="B43" s="94">
        <v>10100</v>
      </c>
      <c r="C43" s="103">
        <f>C9</f>
        <v>7550.5</v>
      </c>
      <c r="D43" s="103">
        <f>D9</f>
        <v>6044.3</v>
      </c>
      <c r="E43" s="103">
        <f>D43-C43</f>
        <v>-1506.1999999999998</v>
      </c>
      <c r="F43" s="104">
        <f>D43/C43</f>
        <v>0.8005165220846302</v>
      </c>
    </row>
    <row r="44" spans="1:6" ht="30" customHeight="1" x14ac:dyDescent="0.25">
      <c r="A44" s="21" t="s">
        <v>148</v>
      </c>
      <c r="B44" s="94">
        <v>10200</v>
      </c>
      <c r="C44" s="107">
        <v>34</v>
      </c>
      <c r="D44" s="103">
        <f>'Таблиця 2'!D8</f>
        <v>396.1</v>
      </c>
      <c r="E44" s="103">
        <f t="shared" ref="E44:E45" si="11">D44-C44</f>
        <v>362.1</v>
      </c>
      <c r="F44" s="104"/>
    </row>
    <row r="45" spans="1:6" ht="22.9" customHeight="1" x14ac:dyDescent="0.25">
      <c r="A45" s="21" t="s">
        <v>149</v>
      </c>
      <c r="B45" s="94">
        <v>10300</v>
      </c>
      <c r="C45" s="103">
        <v>60.4</v>
      </c>
      <c r="D45" s="103">
        <f>'Таблиця 1'!D92+D44</f>
        <v>218.90000000000111</v>
      </c>
      <c r="E45" s="103">
        <f t="shared" si="11"/>
        <v>158.50000000000111</v>
      </c>
      <c r="F45" s="104">
        <f t="shared" ref="F45" si="12">D45/C45</f>
        <v>3.6241721854304823</v>
      </c>
    </row>
    <row r="46" spans="1:6" s="45" customFormat="1" x14ac:dyDescent="0.25"/>
    <row r="47" spans="1:6" s="45" customFormat="1" x14ac:dyDescent="0.25"/>
    <row r="48" spans="1:6" s="45" customFormat="1" ht="15" customHeight="1" thickBot="1" x14ac:dyDescent="0.3">
      <c r="A48" s="16" t="s">
        <v>179</v>
      </c>
      <c r="B48" s="105"/>
      <c r="C48" s="105"/>
      <c r="D48" s="105"/>
      <c r="E48" s="132" t="s">
        <v>169</v>
      </c>
      <c r="F48" s="132"/>
    </row>
    <row r="49" spans="1:6" s="45" customFormat="1" ht="24" customHeight="1" x14ac:dyDescent="0.25">
      <c r="A49" s="20" t="s">
        <v>92</v>
      </c>
      <c r="B49" s="83" t="s">
        <v>93</v>
      </c>
      <c r="C49" s="83"/>
      <c r="D49" s="133" t="s">
        <v>94</v>
      </c>
      <c r="E49" s="133"/>
      <c r="F49" s="133"/>
    </row>
    <row r="50" spans="1:6" x14ac:dyDescent="0.25">
      <c r="A50" s="45"/>
      <c r="B50" s="45"/>
    </row>
    <row r="51" spans="1:6" x14ac:dyDescent="0.25">
      <c r="A51" s="45"/>
      <c r="B51" s="45"/>
    </row>
  </sheetData>
  <mergeCells count="11">
    <mergeCell ref="E48:F48"/>
    <mergeCell ref="D49:F49"/>
    <mergeCell ref="A8:F8"/>
    <mergeCell ref="A32:F32"/>
    <mergeCell ref="A2:F2"/>
    <mergeCell ref="A4:A6"/>
    <mergeCell ref="C4:F4"/>
    <mergeCell ref="C5:C6"/>
    <mergeCell ref="D5:D6"/>
    <mergeCell ref="E5:E6"/>
    <mergeCell ref="F5:F6"/>
  </mergeCells>
  <pageMargins left="0.31496062992125984" right="0.31496062992125984" top="0.35433070866141736" bottom="0.35433070866141736" header="0.31496062992125984" footer="0.31496062992125984"/>
  <pageSetup paperSize="9" orientation="portrait" r:id="rId1"/>
  <rowBreaks count="1" manualBreakCount="1">
    <brk id="31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17"/>
  <sheetViews>
    <sheetView workbookViewId="0">
      <selection activeCell="D11" sqref="D11"/>
    </sheetView>
  </sheetViews>
  <sheetFormatPr defaultColWidth="8.85546875" defaultRowHeight="15" x14ac:dyDescent="0.25"/>
  <cols>
    <col min="1" max="1" width="39.140625" style="33" customWidth="1"/>
    <col min="2" max="2" width="8.85546875" style="33"/>
    <col min="3" max="3" width="11.85546875" style="33" customWidth="1"/>
    <col min="4" max="4" width="10.85546875" style="33" customWidth="1"/>
    <col min="5" max="5" width="11.7109375" style="33" customWidth="1"/>
    <col min="6" max="6" width="14" style="33" customWidth="1"/>
    <col min="7" max="16384" width="8.85546875" style="33"/>
  </cols>
  <sheetData>
    <row r="1" spans="1:7" x14ac:dyDescent="0.25">
      <c r="A1" s="58"/>
      <c r="F1" s="58" t="s">
        <v>150</v>
      </c>
    </row>
    <row r="2" spans="1:7" x14ac:dyDescent="0.25">
      <c r="A2" s="137" t="s">
        <v>151</v>
      </c>
      <c r="B2" s="137"/>
      <c r="C2" s="137"/>
      <c r="D2" s="137"/>
      <c r="E2" s="137"/>
      <c r="F2" s="137"/>
    </row>
    <row r="3" spans="1:7" ht="15.75" thickBot="1" x14ac:dyDescent="0.3">
      <c r="A3" s="59"/>
    </row>
    <row r="4" spans="1:7" ht="15.75" thickBot="1" x14ac:dyDescent="0.3">
      <c r="A4" s="138" t="s">
        <v>16</v>
      </c>
      <c r="B4" s="34" t="s">
        <v>17</v>
      </c>
      <c r="C4" s="141" t="s">
        <v>19</v>
      </c>
      <c r="D4" s="142"/>
      <c r="E4" s="142"/>
      <c r="F4" s="143"/>
    </row>
    <row r="5" spans="1:7" x14ac:dyDescent="0.25">
      <c r="A5" s="139"/>
      <c r="B5" s="35" t="s">
        <v>18</v>
      </c>
      <c r="C5" s="138" t="s">
        <v>20</v>
      </c>
      <c r="D5" s="138" t="s">
        <v>21</v>
      </c>
      <c r="E5" s="138" t="s">
        <v>22</v>
      </c>
      <c r="F5" s="138" t="s">
        <v>23</v>
      </c>
    </row>
    <row r="6" spans="1:7" ht="15.75" thickBot="1" x14ac:dyDescent="0.3">
      <c r="A6" s="140"/>
      <c r="B6" s="36"/>
      <c r="C6" s="140"/>
      <c r="D6" s="140"/>
      <c r="E6" s="140"/>
      <c r="F6" s="140"/>
    </row>
    <row r="7" spans="1:7" ht="15.75" thickBot="1" x14ac:dyDescent="0.3">
      <c r="A7" s="37">
        <v>1</v>
      </c>
      <c r="B7" s="38">
        <v>2</v>
      </c>
      <c r="C7" s="38">
        <v>3</v>
      </c>
      <c r="D7" s="38">
        <v>4</v>
      </c>
      <c r="E7" s="38">
        <v>5</v>
      </c>
      <c r="F7" s="38">
        <v>6</v>
      </c>
    </row>
    <row r="8" spans="1:7" ht="15.75" thickBot="1" x14ac:dyDescent="0.3">
      <c r="A8" s="39" t="s">
        <v>152</v>
      </c>
      <c r="B8" s="38">
        <v>11000</v>
      </c>
      <c r="C8" s="60">
        <f>SUM(C9:C14)</f>
        <v>0</v>
      </c>
      <c r="D8" s="60">
        <f t="shared" ref="D8:F8" si="0">SUM(D9:D14)</f>
        <v>15.4</v>
      </c>
      <c r="E8" s="60">
        <f t="shared" si="0"/>
        <v>15.4</v>
      </c>
      <c r="F8" s="60">
        <f t="shared" si="0"/>
        <v>0</v>
      </c>
    </row>
    <row r="9" spans="1:7" ht="15.75" thickBot="1" x14ac:dyDescent="0.3">
      <c r="A9" s="41" t="s">
        <v>153</v>
      </c>
      <c r="B9" s="40">
        <v>11001</v>
      </c>
      <c r="C9" s="61"/>
      <c r="D9" s="61"/>
      <c r="E9" s="61"/>
      <c r="F9" s="61"/>
    </row>
    <row r="10" spans="1:7" ht="15.75" thickBot="1" x14ac:dyDescent="0.3">
      <c r="A10" s="41" t="s">
        <v>154</v>
      </c>
      <c r="B10" s="40">
        <v>11002</v>
      </c>
      <c r="C10" s="61">
        <v>0</v>
      </c>
      <c r="D10" s="61">
        <f>'Таблиця 1'!D89</f>
        <v>15.4</v>
      </c>
      <c r="E10" s="61">
        <f>D10-C10</f>
        <v>15.4</v>
      </c>
      <c r="F10" s="62"/>
    </row>
    <row r="11" spans="1:7" ht="28.9" customHeight="1" thickBot="1" x14ac:dyDescent="0.3">
      <c r="A11" s="41" t="s">
        <v>155</v>
      </c>
      <c r="B11" s="40">
        <v>11003</v>
      </c>
      <c r="C11" s="61"/>
      <c r="D11" s="61"/>
      <c r="E11" s="61"/>
      <c r="F11" s="61"/>
    </row>
    <row r="12" spans="1:7" ht="15.75" thickBot="1" x14ac:dyDescent="0.3">
      <c r="A12" s="41" t="s">
        <v>156</v>
      </c>
      <c r="B12" s="40">
        <v>11004</v>
      </c>
      <c r="C12" s="61"/>
      <c r="D12" s="61"/>
      <c r="E12" s="61"/>
      <c r="F12" s="61"/>
    </row>
    <row r="13" spans="1:7" ht="39" thickBot="1" x14ac:dyDescent="0.3">
      <c r="A13" s="41" t="s">
        <v>144</v>
      </c>
      <c r="B13" s="40">
        <v>11005</v>
      </c>
      <c r="C13" s="61"/>
      <c r="D13" s="61"/>
      <c r="E13" s="61"/>
      <c r="F13" s="61"/>
    </row>
    <row r="14" spans="1:7" ht="15.75" thickBot="1" x14ac:dyDescent="0.3">
      <c r="A14" s="41" t="s">
        <v>145</v>
      </c>
      <c r="B14" s="40">
        <v>11006</v>
      </c>
      <c r="C14" s="61"/>
      <c r="D14" s="61"/>
      <c r="E14" s="61"/>
      <c r="F14" s="61"/>
    </row>
    <row r="15" spans="1:7" x14ac:dyDescent="0.25">
      <c r="A15" s="63"/>
    </row>
    <row r="16" spans="1:7" ht="19.149999999999999" customHeight="1" thickBot="1" x14ac:dyDescent="0.3">
      <c r="A16" s="16" t="s">
        <v>179</v>
      </c>
      <c r="B16" s="42"/>
      <c r="C16" s="42"/>
      <c r="D16" s="42"/>
      <c r="E16" s="131" t="s">
        <v>169</v>
      </c>
      <c r="F16" s="131"/>
      <c r="G16" s="44"/>
    </row>
    <row r="17" spans="1:7" ht="24" customHeight="1" x14ac:dyDescent="0.25">
      <c r="A17" s="43" t="s">
        <v>92</v>
      </c>
      <c r="B17" s="51" t="s">
        <v>93</v>
      </c>
      <c r="C17" s="51"/>
      <c r="D17" s="51"/>
      <c r="E17" s="136" t="s">
        <v>94</v>
      </c>
      <c r="F17" s="136"/>
      <c r="G17" s="64"/>
    </row>
  </sheetData>
  <mergeCells count="9">
    <mergeCell ref="E16:F16"/>
    <mergeCell ref="E17:F17"/>
    <mergeCell ref="A2:F2"/>
    <mergeCell ref="A4:A6"/>
    <mergeCell ref="C4:F4"/>
    <mergeCell ref="C5:C6"/>
    <mergeCell ref="D5:D6"/>
    <mergeCell ref="E5:E6"/>
    <mergeCell ref="F5:F6"/>
  </mergeCells>
  <pageMargins left="0.31496062992125984" right="0.31496062992125984" top="0.74803149606299213" bottom="0.74803149606299213" header="0.31496062992125984" footer="0.31496062992125984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E32"/>
  <sheetViews>
    <sheetView topLeftCell="A10" workbookViewId="0">
      <selection activeCell="C12" sqref="C12"/>
    </sheetView>
  </sheetViews>
  <sheetFormatPr defaultColWidth="8.85546875" defaultRowHeight="15.75" x14ac:dyDescent="0.25"/>
  <cols>
    <col min="1" max="1" width="58.28515625" style="23" customWidth="1"/>
    <col min="2" max="2" width="12.28515625" style="79" customWidth="1"/>
    <col min="3" max="4" width="11.7109375" style="79" customWidth="1"/>
    <col min="5" max="16384" width="8.85546875" style="23"/>
  </cols>
  <sheetData>
    <row r="1" spans="1:4" x14ac:dyDescent="0.25">
      <c r="A1" s="22"/>
      <c r="B1" s="23"/>
      <c r="C1" s="23"/>
      <c r="D1" s="22" t="s">
        <v>157</v>
      </c>
    </row>
    <row r="2" spans="1:4" x14ac:dyDescent="0.25">
      <c r="A2" s="128" t="s">
        <v>158</v>
      </c>
      <c r="B2" s="128"/>
      <c r="C2" s="128"/>
      <c r="D2" s="128"/>
    </row>
    <row r="3" spans="1:4" x14ac:dyDescent="0.25">
      <c r="A3" s="24"/>
      <c r="B3" s="23"/>
      <c r="C3" s="23"/>
      <c r="D3" s="23"/>
    </row>
    <row r="4" spans="1:4" x14ac:dyDescent="0.25">
      <c r="A4" s="135" t="s">
        <v>16</v>
      </c>
      <c r="B4" s="135" t="s">
        <v>19</v>
      </c>
      <c r="C4" s="135"/>
      <c r="D4" s="135"/>
    </row>
    <row r="5" spans="1:4" x14ac:dyDescent="0.25">
      <c r="A5" s="135"/>
      <c r="B5" s="135" t="s">
        <v>20</v>
      </c>
      <c r="C5" s="135" t="s">
        <v>21</v>
      </c>
      <c r="D5" s="135" t="s">
        <v>22</v>
      </c>
    </row>
    <row r="6" spans="1:4" x14ac:dyDescent="0.25">
      <c r="A6" s="135"/>
      <c r="B6" s="135"/>
      <c r="C6" s="135"/>
      <c r="D6" s="135"/>
    </row>
    <row r="7" spans="1:4" x14ac:dyDescent="0.25">
      <c r="A7" s="25">
        <v>1</v>
      </c>
      <c r="B7" s="25">
        <v>2</v>
      </c>
      <c r="C7" s="25">
        <v>3</v>
      </c>
      <c r="D7" s="25">
        <v>4</v>
      </c>
    </row>
    <row r="8" spans="1:4" ht="45.6" customHeight="1" x14ac:dyDescent="0.25">
      <c r="A8" s="26" t="s">
        <v>181</v>
      </c>
      <c r="B8" s="25">
        <f>SUM(B9:B11)</f>
        <v>124</v>
      </c>
      <c r="C8" s="25">
        <f>SUM(C9:C11)</f>
        <v>115</v>
      </c>
      <c r="D8" s="25">
        <f>C8-B8</f>
        <v>-9</v>
      </c>
    </row>
    <row r="9" spans="1:4" x14ac:dyDescent="0.25">
      <c r="A9" s="21" t="s">
        <v>159</v>
      </c>
      <c r="B9" s="94">
        <v>1</v>
      </c>
      <c r="C9" s="77">
        <v>1</v>
      </c>
      <c r="D9" s="77">
        <f t="shared" ref="D9:D27" si="0">C9-B9</f>
        <v>0</v>
      </c>
    </row>
    <row r="10" spans="1:4" x14ac:dyDescent="0.25">
      <c r="A10" s="21" t="s">
        <v>160</v>
      </c>
      <c r="B10" s="94">
        <v>23</v>
      </c>
      <c r="C10" s="77">
        <v>22</v>
      </c>
      <c r="D10" s="77">
        <f t="shared" si="0"/>
        <v>-1</v>
      </c>
    </row>
    <row r="11" spans="1:4" x14ac:dyDescent="0.25">
      <c r="A11" s="21" t="s">
        <v>161</v>
      </c>
      <c r="B11" s="94">
        <v>100</v>
      </c>
      <c r="C11" s="77">
        <v>92</v>
      </c>
      <c r="D11" s="77">
        <f t="shared" si="0"/>
        <v>-8</v>
      </c>
    </row>
    <row r="12" spans="1:4" x14ac:dyDescent="0.25">
      <c r="A12" s="26" t="s">
        <v>162</v>
      </c>
      <c r="B12" s="81">
        <f>SUM(B13:B15)</f>
        <v>5250</v>
      </c>
      <c r="C12" s="106">
        <f>SUM(C13:C15)</f>
        <v>4169.8999999999996</v>
      </c>
      <c r="D12" s="25">
        <f t="shared" si="0"/>
        <v>-1080.1000000000004</v>
      </c>
    </row>
    <row r="13" spans="1:4" x14ac:dyDescent="0.25">
      <c r="A13" s="21" t="s">
        <v>159</v>
      </c>
      <c r="B13" s="77">
        <v>136.5</v>
      </c>
      <c r="C13" s="82">
        <v>164.5</v>
      </c>
      <c r="D13" s="82">
        <f>C13-B13</f>
        <v>28</v>
      </c>
    </row>
    <row r="14" spans="1:4" x14ac:dyDescent="0.25">
      <c r="A14" s="21" t="s">
        <v>160</v>
      </c>
      <c r="B14" s="82">
        <f>'Таблиця 1'!C63-'Таблиця 5'!B13</f>
        <v>785.3</v>
      </c>
      <c r="C14" s="82">
        <f>907.9-C13</f>
        <v>743.4</v>
      </c>
      <c r="D14" s="77">
        <f t="shared" si="0"/>
        <v>-41.899999999999977</v>
      </c>
    </row>
    <row r="15" spans="1:4" x14ac:dyDescent="0.25">
      <c r="A15" s="21" t="s">
        <v>161</v>
      </c>
      <c r="B15" s="77">
        <f>'Таблиця 1'!C34</f>
        <v>4328.2</v>
      </c>
      <c r="C15" s="82">
        <f>'Таблиця 1'!D97-C14-C13</f>
        <v>3261.9999999999995</v>
      </c>
      <c r="D15" s="77">
        <f t="shared" si="0"/>
        <v>-1066.2000000000003</v>
      </c>
    </row>
    <row r="16" spans="1:4" ht="31.5" x14ac:dyDescent="0.25">
      <c r="A16" s="26" t="s">
        <v>163</v>
      </c>
      <c r="B16" s="80"/>
      <c r="C16" s="80"/>
      <c r="D16" s="80"/>
    </row>
    <row r="17" spans="1:5" x14ac:dyDescent="0.25">
      <c r="A17" s="21" t="s">
        <v>159</v>
      </c>
      <c r="B17" s="82">
        <f t="shared" ref="B17:C19" si="1">B13/3/B9</f>
        <v>45.5</v>
      </c>
      <c r="C17" s="82">
        <f>C13/3/C9</f>
        <v>54.833333333333336</v>
      </c>
      <c r="D17" s="82">
        <f t="shared" si="0"/>
        <v>9.3333333333333357</v>
      </c>
    </row>
    <row r="18" spans="1:5" x14ac:dyDescent="0.25">
      <c r="A18" s="21" t="s">
        <v>160</v>
      </c>
      <c r="B18" s="82">
        <f t="shared" si="1"/>
        <v>11.381159420289855</v>
      </c>
      <c r="C18" s="82">
        <f>C14/3/C10</f>
        <v>11.263636363636364</v>
      </c>
      <c r="D18" s="82">
        <f t="shared" si="0"/>
        <v>-0.11752305665349105</v>
      </c>
    </row>
    <row r="19" spans="1:5" x14ac:dyDescent="0.25">
      <c r="A19" s="21" t="s">
        <v>161</v>
      </c>
      <c r="B19" s="82">
        <f t="shared" si="1"/>
        <v>14.427333333333333</v>
      </c>
      <c r="C19" s="82">
        <f t="shared" si="1"/>
        <v>11.818840579710145</v>
      </c>
      <c r="D19" s="82">
        <f t="shared" si="0"/>
        <v>-2.6084927536231888</v>
      </c>
    </row>
    <row r="20" spans="1:5" x14ac:dyDescent="0.25">
      <c r="A20" s="26" t="s">
        <v>164</v>
      </c>
      <c r="B20" s="106">
        <f>SUM(B21:B23)</f>
        <v>5250</v>
      </c>
      <c r="C20" s="106">
        <f>SUM(C21:C23)</f>
        <v>4169.8999999999996</v>
      </c>
      <c r="D20" s="106">
        <f t="shared" si="0"/>
        <v>-1080.1000000000004</v>
      </c>
    </row>
    <row r="21" spans="1:5" x14ac:dyDescent="0.25">
      <c r="A21" s="21" t="s">
        <v>159</v>
      </c>
      <c r="B21" s="82">
        <v>136.5</v>
      </c>
      <c r="C21" s="82">
        <v>136.5</v>
      </c>
      <c r="D21" s="82">
        <f t="shared" si="0"/>
        <v>0</v>
      </c>
    </row>
    <row r="22" spans="1:5" x14ac:dyDescent="0.25">
      <c r="A22" s="21" t="s">
        <v>160</v>
      </c>
      <c r="B22" s="82">
        <f>'Таблиця 1'!C63-B21</f>
        <v>785.3</v>
      </c>
      <c r="C22" s="82">
        <f>'Таблиця 1'!D63-C21</f>
        <v>771.4</v>
      </c>
      <c r="D22" s="82">
        <f t="shared" si="0"/>
        <v>-13.899999999999977</v>
      </c>
    </row>
    <row r="23" spans="1:5" x14ac:dyDescent="0.25">
      <c r="A23" s="21" t="s">
        <v>161</v>
      </c>
      <c r="B23" s="82">
        <f>'Таблиця 1'!C97-B22-B21</f>
        <v>4328.2</v>
      </c>
      <c r="C23" s="82">
        <f>'Таблиця 1'!D34</f>
        <v>3261.9999999999995</v>
      </c>
      <c r="D23" s="82">
        <f t="shared" si="0"/>
        <v>-1066.2000000000003</v>
      </c>
    </row>
    <row r="24" spans="1:5" ht="31.5" x14ac:dyDescent="0.25">
      <c r="A24" s="26" t="s">
        <v>165</v>
      </c>
      <c r="B24" s="80"/>
      <c r="C24" s="80"/>
      <c r="D24" s="80"/>
    </row>
    <row r="25" spans="1:5" x14ac:dyDescent="0.25">
      <c r="A25" s="21" t="s">
        <v>159</v>
      </c>
      <c r="B25" s="82">
        <f t="shared" ref="B25:C27" si="2">B21/3/B9</f>
        <v>45.5</v>
      </c>
      <c r="C25" s="82">
        <f t="shared" si="2"/>
        <v>45.5</v>
      </c>
      <c r="D25" s="82">
        <f t="shared" si="0"/>
        <v>0</v>
      </c>
    </row>
    <row r="26" spans="1:5" x14ac:dyDescent="0.25">
      <c r="A26" s="21" t="s">
        <v>160</v>
      </c>
      <c r="B26" s="82">
        <f t="shared" si="2"/>
        <v>11.381159420289855</v>
      </c>
      <c r="C26" s="82">
        <f t="shared" si="2"/>
        <v>11.687878787878788</v>
      </c>
      <c r="D26" s="82">
        <f t="shared" si="0"/>
        <v>0.30671936758893281</v>
      </c>
    </row>
    <row r="27" spans="1:5" x14ac:dyDescent="0.25">
      <c r="A27" s="21" t="s">
        <v>161</v>
      </c>
      <c r="B27" s="82">
        <f t="shared" si="2"/>
        <v>14.427333333333333</v>
      </c>
      <c r="C27" s="82">
        <f t="shared" si="2"/>
        <v>11.818840579710145</v>
      </c>
      <c r="D27" s="82">
        <f t="shared" si="0"/>
        <v>-2.6084927536231888</v>
      </c>
    </row>
    <row r="28" spans="1:5" x14ac:dyDescent="0.25">
      <c r="A28" s="27"/>
      <c r="B28" s="23"/>
      <c r="C28" s="23"/>
      <c r="D28" s="23"/>
    </row>
    <row r="29" spans="1:5" x14ac:dyDescent="0.25">
      <c r="A29" s="27"/>
      <c r="B29" s="23"/>
      <c r="C29" s="23"/>
      <c r="D29" s="23"/>
    </row>
    <row r="30" spans="1:5" ht="16.149999999999999" customHeight="1" thickBot="1" x14ac:dyDescent="0.3">
      <c r="A30" s="16" t="s">
        <v>179</v>
      </c>
      <c r="B30" s="131" t="s">
        <v>169</v>
      </c>
      <c r="C30" s="131"/>
      <c r="D30" s="131"/>
      <c r="E30" s="44"/>
    </row>
    <row r="31" spans="1:5" x14ac:dyDescent="0.25">
      <c r="A31" s="20" t="s">
        <v>173</v>
      </c>
      <c r="B31" s="83"/>
      <c r="C31" s="144" t="s">
        <v>172</v>
      </c>
      <c r="D31" s="144"/>
      <c r="E31" s="65"/>
    </row>
    <row r="32" spans="1:5" x14ac:dyDescent="0.25">
      <c r="A32" s="27"/>
    </row>
  </sheetData>
  <mergeCells count="8">
    <mergeCell ref="C31:D31"/>
    <mergeCell ref="B30:D30"/>
    <mergeCell ref="A2:D2"/>
    <mergeCell ref="A4:A6"/>
    <mergeCell ref="B4:D4"/>
    <mergeCell ref="B5:B6"/>
    <mergeCell ref="C5:C6"/>
    <mergeCell ref="D5:D6"/>
  </mergeCells>
  <pageMargins left="0.31496062992125984" right="0.31496062992125984" top="0.35433070866141736" bottom="0.74803149606299213" header="0.31496062992125984" footer="0.31496062992125984"/>
  <pageSetup paperSize="9" fitToWidth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5</vt:i4>
      </vt:variant>
      <vt:variant>
        <vt:lpstr>Іменовані діапазони</vt:lpstr>
      </vt:variant>
      <vt:variant>
        <vt:i4>3</vt:i4>
      </vt:variant>
    </vt:vector>
  </HeadingPairs>
  <TitlesOfParts>
    <vt:vector size="8" baseType="lpstr">
      <vt:lpstr>Таблиця 1</vt:lpstr>
      <vt:lpstr>Таблиця 2</vt:lpstr>
      <vt:lpstr>Таблиця 3</vt:lpstr>
      <vt:lpstr>Таблиця 4</vt:lpstr>
      <vt:lpstr>Таблиця 5</vt:lpstr>
      <vt:lpstr>'Таблиця 4'!bookmark4</vt:lpstr>
      <vt:lpstr>'Таблиця 1'!Область_друку</vt:lpstr>
      <vt:lpstr>'Таблиця 3'!Область_друку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2024-12-16T12:58:59Z</dcterms:modified>
</cp:coreProperties>
</file>